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zicht" sheetId="1" r:id="rId3"/>
    <sheet state="visible" name="Aantal landdieren gedood" sheetId="2" r:id="rId4"/>
    <sheet state="visible" name="Aantal zeedieren gedood" sheetId="3" r:id="rId5"/>
    <sheet state="visible" name="Uitval" sheetId="4" r:id="rId6"/>
    <sheet state="visible" name="Dieren per kg product" sheetId="5" r:id="rId7"/>
    <sheet state="visible" name="Colofon" sheetId="6" r:id="rId8"/>
  </sheets>
  <definedNames/>
  <calcPr/>
</workbook>
</file>

<file path=xl/sharedStrings.xml><?xml version="1.0" encoding="utf-8"?>
<sst xmlns="http://schemas.openxmlformats.org/spreadsheetml/2006/main" count="674" uniqueCount="473">
  <si>
    <t>In deze spreadsheet berekenen we twee dingen: het aantal dieren dat door een gemiddelde Nederlandse vleeseter wordt gegeten en het aantal dagen dat de dieren in de handen van mensen doorbrengen, dit noemen we dagen lijden. Het aantal dieren dat wordt gegeten komt niet overeen met het aantal dieren dat gedood wordt voor het dieet van een vleeseter. Voorbeelden van groepen die niet zijn meegenomen voor dit aantal zijn de haanjes uit de eierindustrie, vissen die aan kippen en varkens worden gevoerd, bijvangst en wilde dieren die gedood worden tijdens het oogsten van planten voor directe consumptie of voor veevoer. Alleen de dieren die direct door mensen worden gegeten zijn meegenomen voor dit aantal. Er is wel berekend hoeveel dieren er nodig zijn om zuivel en eieren te produceren, maar omdat deze dieren ook geslacht worden voor hun vlees zijn zij niet meegenomen in het eindaantal.</t>
  </si>
  <si>
    <t>In dit bestand berekenen we hoeveel leed wordt veroorzaakt door Nederlanders met verschillende dieten. In het bladen 'Aantal dieren gedood' berekenen we hoeveel dieren er nodig zijn voor de productie van de vlees, zuivel en eierconsumptie van de gemiddelde Nederlander. In het blad 'Aantal zeedieren gedood' berekenen we hoeveel vissen en garnalen gedood worden in verschillende categorieen. We maken onderscheid tussen de dieren die direct gegeten worden, dieren die omkomen bij bijvangst en dieren die gebruikt worden als voer voor andere vissen, kippen en varkens. In het blad 'Uitval' berekenen we hoeveel dieren sterven voordat zij het slachthuis bereiken. De laatste twee bladen zijn toepassingen van de cijfers.
We berekenen het aantal dieren dat gedood wordt en hoe lang deze dieren in de handen van mensen zijn en we nemen aan dat dieren in deze tijd lijden. Een vergelijking van hoeveel tijd dieren in de handen van mensen zijn is slechts een begin om leed van verschillende groepen te vergelijken. Hoeveel leed de verschillende groepen ondervinden is ook afhankelijk van de omstandigheden die we in deze berekeningen niet hebben meegenomen.
Deze berekeningen maken veel aannames en zijn maar een speculatieve schatting. Er is meer informatie nodig om precieze berekeningen te maken.</t>
  </si>
  <si>
    <t>Er zijn verschillende groepen vissen en zeedieren namelijk dieren die gedood worden voor directe consumptie, dieren die gebruikt worden als voer aan andere dieren en dieren die als bijvangst sterven. We beginnen met het aantal dieren dat direct gegeten wordt door mensen. Deze berekeningen baseren we op die van de Vlaamse organisatie EVA die heeft uitgerekend hoeveel zeedieren direct gegeten worden door een gemiddelde Belg.</t>
  </si>
  <si>
    <t>boerderijdieren:</t>
  </si>
  <si>
    <t>Om te berekenen voor hoeveel dieren een gemiddelde Nederlander verantwoordelijk is in zijn of haar leven nemen de levensverwachting van een persoon die 21 is in 2017 (gebaseerd op doelgroep veggiechallenge). Deze verwachting zullen we gebruiken om te berekenen hoeveel dieren iemand in zijn of haar leven eet.</t>
  </si>
  <si>
    <t>levensverwachting geboren in 1996</t>
  </si>
  <si>
    <t>Sommige van de getallen die we gebruiken worden in gemiddelde consumptie gegeven. Omdat niet iedereen vlees of dierlijke producten eet moeten we hiervoor compenseren.</t>
  </si>
  <si>
    <t>aandeel van totale bevolking</t>
  </si>
  <si>
    <t>aantal</t>
  </si>
  <si>
    <t>bevolking nederland juni 2015</t>
  </si>
  <si>
    <r>
      <rPr>
        <rFont val="Arial"/>
        <sz val="10.0"/>
      </rPr>
      <t xml:space="preserve">Bron voor levensverwachting verschillende jaren: </t>
    </r>
    <r>
      <rPr>
        <rFont val="Arial"/>
        <color rgb="FF0000FF"/>
        <sz val="10.0"/>
      </rPr>
      <t>http://statline.cbs.nl/Statweb/publication/?DM=SLNL&amp;PA=37360NED&amp;D1=3&amp;D2=a&amp;D3=0&amp;D4=20-65,67-73&amp;HDR=G1,T&amp;STB=G2,G3&amp;VW=T</t>
    </r>
    <r>
      <rPr>
        <rFont val="Arial"/>
        <sz val="10.0"/>
      </rPr>
      <t xml:space="preserve"> </t>
    </r>
  </si>
  <si>
    <t>veganisten</t>
  </si>
  <si>
    <t>We berekenen voor elke diersoort een gemiddeld levend gewicht, daarna is voor elke diersoort de omrekeningsfactor opgezocht, dit geeft weer hoeveel van het levend gewicht van het dier verloren gaat bij de verwerking ervan. We delen het gemiddeld gewicht van de (sub)groep door de gemiddelde omrekeningsfactor van deze groep om bij het gemiddeld verwerkt gewicht van de (sub)groep te komen. Dit combineren we met het gewicht dat er van een subgroep gegeten wordt om uit te komen op de hoeveelheid dieren die gegeten wordt. Al deze getallen zijn voor Vlamingers. Onder deze tabel rekenen we om naar Nederlandse consumptie via een omrekeningsfactor.</t>
  </si>
  <si>
    <t>vegetariers</t>
  </si>
  <si>
    <t>De kolommen vanaf M zijn niet gebaseerd op EVA's werk. In deze kolommen zoeken we uit hoeveel gekweekte vissen en wilde vissen geconsumeerd worden en hoe lang de gekweekte vissen hiervoor op vissenboerderijen moeten lijden. Eerst bekijken we welke soorten gekweekt en welke gevangen worden. In (sub)groepen met meerdere soorten kijken we wat het aandeel van gekweekte vis van het geheel is. Dit combineren we het het aantal maanden dan een vis op een boerderij moet doorbrengen om te berekenen hoeveel maanden lijden een viseter in een jaar veroorzaakt.</t>
  </si>
  <si>
    <t>vleeseters</t>
  </si>
  <si>
    <t>Dieren gegeten door een vleeseter</t>
  </si>
  <si>
    <t>pppj</t>
  </si>
  <si>
    <t>ppp leven</t>
  </si>
  <si>
    <t>maanden lijden per dier</t>
  </si>
  <si>
    <t>maand lijden veroorzaakt pppj</t>
  </si>
  <si>
    <t>maanden lijden veroorzaakt ppp leven</t>
  </si>
  <si>
    <t>jaar lijden veroorzaakt ppp leven</t>
  </si>
  <si>
    <t>Directe consumptie landdieren</t>
  </si>
  <si>
    <t>varkens</t>
  </si>
  <si>
    <t>zuivel- en ei-eters (vegetariers + vleeseters)</t>
  </si>
  <si>
    <t>Berekening op basis van het gemiddeld verwerkt gewicht.</t>
  </si>
  <si>
    <r>
      <rPr>
        <rFont val="Arial"/>
        <sz val="10.0"/>
      </rPr>
      <t xml:space="preserve">Bron voor aantal vegetariers: Vlees vooral(snog) vanzelfsprekend LEI Wageningen UR </t>
    </r>
    <r>
      <rPr>
        <rFont val="Arial"/>
        <color rgb="FF0000FF"/>
        <sz val="10.0"/>
      </rPr>
      <t>http://edepot.wur.nl/212318</t>
    </r>
    <r>
      <rPr>
        <rFont val="Arial"/>
        <sz val="10.0"/>
      </rPr>
      <t xml:space="preserve"> 
Bron voor aantal veganisten: Kiezen bij de kassa p. 52</t>
    </r>
  </si>
  <si>
    <t>We berekenen nu het geslacht gewicht van verschillende diersoorten aan de hand van cijfers van het PEV uit 2012.
Geslacht gewicht is het gewicht dat het dier heeft zonder ingewanden en soms zonder de huid. Dit berekenen we omdat de consumptiecijfers in geslacht gewicht zijn uitgedrukt. 
Voor vogels gebruiken we belgische cijfers omdat die voor Nederland niet beschikbaar zijn.</t>
  </si>
  <si>
    <t>Totaal aantal dieren</t>
  </si>
  <si>
    <t>totale hoeveelheid slachtgewicht (kg)</t>
  </si>
  <si>
    <t>geslacht gewicht per dier</t>
  </si>
  <si>
    <t>runderen</t>
  </si>
  <si>
    <t>pluimvee</t>
  </si>
  <si>
    <t>Wetenschappelijke naam diersoort</t>
  </si>
  <si>
    <t>kalveren</t>
  </si>
  <si>
    <t>Levend gewicht diersoort</t>
  </si>
  <si>
    <t>Gemiddeld gewicht diersoort</t>
  </si>
  <si>
    <t>vleeskuikens</t>
  </si>
  <si>
    <t>Gemiddeld gewicht (sub)groep</t>
  </si>
  <si>
    <t>Gemiddelde omrekenings- factor [8]</t>
  </si>
  <si>
    <t>Verwerkt gewicht (sub)groep</t>
  </si>
  <si>
    <t>Consumptie per (sub)groep Vlaminger</t>
  </si>
  <si>
    <t>Aantal dieren per jaar</t>
  </si>
  <si>
    <t>aantal vissen per jaar</t>
  </si>
  <si>
    <t>aantal garnalen, krabben, kreeften per jaar</t>
  </si>
  <si>
    <t>aandeel gekweekt (alleen vissen)</t>
  </si>
  <si>
    <t>aantal gekweekte vissen per jaar</t>
  </si>
  <si>
    <t>maanden in gevangenschap per gekweekte vis</t>
  </si>
  <si>
    <t>maanden lijden voor jaarlijkse consumptie</t>
  </si>
  <si>
    <t>schapen/geiten</t>
  </si>
  <si>
    <t>gekweekte vissen</t>
  </si>
  <si>
    <t>[kg]</t>
  </si>
  <si>
    <t>[kg / dier]</t>
  </si>
  <si>
    <t>[-]</t>
  </si>
  <si>
    <t>[kg / jaar / inwoner]</t>
  </si>
  <si>
    <t>[dier / jaar / inwoner]</t>
  </si>
  <si>
    <t>vogels</t>
  </si>
  <si>
    <t>Vis en week- en schaaldieren</t>
  </si>
  <si>
    <t>-</t>
  </si>
  <si>
    <r>
      <rPr>
        <sz val="10.0"/>
      </rPr>
      <t xml:space="preserve">PEV kentallen: https://www.agriholland.nl/cijfers/PVE_Vee,%20Vlees%20en%20Eieren%20in%20Nederland%202012.pdf 
geslachte vogels Belgie: </t>
    </r>
    <r>
      <rPr>
        <color rgb="FF0000FF"/>
        <sz val="10.0"/>
      </rPr>
      <t>http://statbel.fgov.be/nl/statistieken/cijfers/economie/landbouw/verwerking/geslacht/</t>
    </r>
  </si>
  <si>
    <t>moedervleeskuikens</t>
  </si>
  <si>
    <t>We gebruiken de vleesconsumptiecijfers per capita uitgedrukt in geslacht gewicht om eerst te berekenen hoeveel kilo een gemiddelde vleeseter eet per jaar. De per capita cijfers gaan ervanuit dat iedereen in Nederland vlees eet, wij rekenen dit terug om te compenseren voor het aantal vegetariers. Vervolgens rekenen we dit om naar het aantal dieren dat voor deze hoeveelheid geslacht moet worden. We vermenigvuldigen met de levensverwachting om te berekenen hoeveel dieren iemand in zijn of haar hele leven eet. Deze cijfers gaan niet over de directe consumptie, maar over het geslacht gewicht equivalent. Omdat wij geinteresseerd zijn in hoeveel dieren er geslacht worden per persoon maakt dit niet uit zolang we kunnen terugrekenen van geslacht gewicht naar aantal dieren.</t>
  </si>
  <si>
    <t>dier</t>
  </si>
  <si>
    <t>consumptie in 2015 per capita (geslacht gewicht kg)</t>
  </si>
  <si>
    <t>in totaal</t>
  </si>
  <si>
    <t>per vleeseter</t>
  </si>
  <si>
    <t>dieren gedood per vleeseter per jaar</t>
  </si>
  <si>
    <t>dieren gedood per leven</t>
  </si>
  <si>
    <t>varken</t>
  </si>
  <si>
    <t xml:space="preserve">leghennen </t>
  </si>
  <si>
    <t>Vis (vers)</t>
  </si>
  <si>
    <t>Kabeljauw (vers)</t>
  </si>
  <si>
    <t>Gadus macrocephalus</t>
  </si>
  <si>
    <t>rund</t>
  </si>
  <si>
    <t>1 - 8</t>
  </si>
  <si>
    <t>moederleghennen</t>
  </si>
  <si>
    <t>kalf</t>
  </si>
  <si>
    <t>schaap/geit</t>
  </si>
  <si>
    <t>paard</t>
  </si>
  <si>
    <r>
      <rPr>
        <rFont val="Arial"/>
        <sz val="10.0"/>
      </rPr>
      <t xml:space="preserve">Consumptiecijfers in geslacht gewicht: </t>
    </r>
    <r>
      <rPr>
        <rFont val="Arial"/>
        <color rgb="FF0000FF"/>
        <sz val="10.0"/>
      </rPr>
      <t>https://www.wakkerdier.nl/uploads/media_items/2016-rapport-vleesconsumptie-2005-2015-def.original.pdf</t>
    </r>
    <r>
      <rPr>
        <rFont val="Arial"/>
        <sz val="10.0"/>
      </rPr>
      <t xml:space="preserve"> </t>
    </r>
  </si>
  <si>
    <t>alleen voor vlees</t>
  </si>
  <si>
    <t>Via de zuivelconsumptie per persoon rekenen we uit hoeveel koeien hiervoor nodig zijn en hoeveel kalveren deze koeien gebaard hebben. Een deel van de zuivelconsumptie is van geitenmelk. We nemen aan dat de verhouding tussen consumptie van geiten- en koeienmelk hetzelfde is als die tussen de productie van geiten- en koeienmelk. Een deel van de kalveren wordt gebruikt voor kalfsvlees en een deel wordt als melkkoe gebruikt.</t>
  </si>
  <si>
    <t>Gadus morhua</t>
  </si>
  <si>
    <t>1 - 3</t>
  </si>
  <si>
    <t>aandeel geitenmelk van totaal</t>
  </si>
  <si>
    <t>zuivelconsumptie</t>
  </si>
  <si>
    <t>Liter</t>
  </si>
  <si>
    <t>kg</t>
  </si>
  <si>
    <t>melkkoeien</t>
  </si>
  <si>
    <t>kg koemelk</t>
  </si>
  <si>
    <t>kg geitenmelk</t>
  </si>
  <si>
    <t>persoon 19-69 per jaar</t>
  </si>
  <si>
    <t>garnalen, kreeften en krabben</t>
  </si>
  <si>
    <t>Zalm (vers)</t>
  </si>
  <si>
    <t>Oncorhynchus spp.</t>
  </si>
  <si>
    <t>2 - 10</t>
  </si>
  <si>
    <t>persoon 9-18 per jaar</t>
  </si>
  <si>
    <t>in leven per capita</t>
  </si>
  <si>
    <t>in leven per zuivelgebruiker</t>
  </si>
  <si>
    <t>Salmo salar</t>
  </si>
  <si>
    <t>1 - 6</t>
  </si>
  <si>
    <t>koe</t>
  </si>
  <si>
    <t>geit</t>
  </si>
  <si>
    <t>Levensproductie kg</t>
  </si>
  <si>
    <t>aantal kalveren</t>
  </si>
  <si>
    <t>deel van kalfjes dat voor kalfs en vleesproductie wordt gebruikt</t>
  </si>
  <si>
    <t>Tong (vers)</t>
  </si>
  <si>
    <t>Solea solea</t>
  </si>
  <si>
    <t>0.5 - 2</t>
  </si>
  <si>
    <t>kalfjes dat per koe voor vlees wordt gedood</t>
  </si>
  <si>
    <t>koeien nodig voor zuivelconsumptie per persoon per leven</t>
  </si>
  <si>
    <t>schaap/geit voor zuivel</t>
  </si>
  <si>
    <t>kalveren gedood voor melkproductie per persoon per leven</t>
  </si>
  <si>
    <t>totaal dieren gedood voor zuivelproductie</t>
  </si>
  <si>
    <t>totaal zeedieren</t>
  </si>
  <si>
    <t xml:space="preserve">Victoriabaars (vers) </t>
  </si>
  <si>
    <t>Lates niloticus</t>
  </si>
  <si>
    <t>2 - 4</t>
  </si>
  <si>
    <r>
      <rPr>
        <rFont val="Arial"/>
        <i/>
        <sz val="10.0"/>
      </rPr>
      <t xml:space="preserve">melkproductie geiten tov koeien: </t>
    </r>
    <r>
      <rPr>
        <rFont val="Arial"/>
        <i/>
        <color rgb="FF0000FF"/>
        <sz val="10.0"/>
      </rPr>
      <t>http://www.zuivelnl.org/wp-content/uploads/2016/06/ZIC15.pdf</t>
    </r>
    <r>
      <rPr>
        <rFont val="Arial"/>
        <i/>
        <sz val="10.0"/>
      </rPr>
      <t xml:space="preserve"> 
Zuivelconsumptie per leeftijdscategorie: </t>
    </r>
    <r>
      <rPr>
        <rFont val="Arial"/>
        <i/>
        <color rgb="FF0000FF"/>
        <sz val="10.0"/>
      </rPr>
      <t>http://www.consultancy.nl/media/Roland%20Berger%20-%20Marktanalyse%20Nederlandse%20Zuivelsector-7014.pdf</t>
    </r>
    <r>
      <rPr>
        <rFont val="Arial"/>
        <i/>
        <sz val="10.0"/>
      </rPr>
      <t xml:space="preserve"> 
Levensproductie koe en aantal afkalveringen: </t>
    </r>
    <r>
      <rPr>
        <rFont val="Arial"/>
        <i/>
        <color rgb="FF0000FF"/>
        <sz val="10.0"/>
      </rPr>
      <t>http://www.wur.nl/upload_mm/d/f/8/3793fe15-2169-41e5-b77b-2a01a14e39a2_130910%20Rapport%20668%20-%20Routekaart%20Levensduur_def%20versie.pdf</t>
    </r>
    <r>
      <rPr>
        <rFont val="Arial"/>
        <i/>
        <sz val="10.0"/>
      </rPr>
      <t xml:space="preserve"> 
Aandeel van kalveren dat voor vleesproductie wordt gebruikt: </t>
    </r>
    <r>
      <rPr>
        <rFont val="Arial"/>
        <i/>
        <color rgb="FF0000FF"/>
        <sz val="10.0"/>
      </rPr>
      <t>https://www.agriholland.nl/cijfers/PVE_Vee,%20Vlees%20en%20Eieren%20in%20Nederland%202012.pdf</t>
    </r>
    <r>
      <rPr>
        <rFont val="Arial"/>
        <i/>
        <sz val="10.0"/>
      </rPr>
      <t xml:space="preserve"> 
aantal geitenkalfjes geboren per geit: </t>
    </r>
    <r>
      <rPr>
        <rFont val="Arial"/>
        <i/>
        <color rgb="FF0000FF"/>
        <sz val="10.0"/>
      </rPr>
      <t>http://www.goatworld.com/articles/udgp.shtml</t>
    </r>
    <r>
      <rPr>
        <rFont val="Arial"/>
        <i/>
        <sz val="10.0"/>
      </rPr>
      <t xml:space="preserve"> 
levensduur geiten: </t>
    </r>
    <r>
      <rPr>
        <rFont val="Arial"/>
        <i/>
        <color rgb="FF0000FF"/>
        <sz val="10.0"/>
      </rPr>
      <t>http://oklahoma4h.okstate.edu/litol/file/animal/dairy/N-424_web.pdf</t>
    </r>
  </si>
  <si>
    <t>schaap/geit kalfjes voor zuivel</t>
  </si>
  <si>
    <t>Omdat de meeste eieren die geconsumeerd worden scharreleieren zijn, gaan we ervanuit dat alle hennen dezelfde productie hebben als scharrelhennen. Van de consumptie per capita berekenen we de consumptie van een eiereter en via de productie van een hen berekenen we hoeveel hennen er nodig zijn om aan de consumptie van een eiereter te voldoen. Voor elke leghen wordt er ook een haantje geboren. Omdat haantjes geen eieren leggen worden zij direct gedood.</t>
  </si>
  <si>
    <t>aantal eieren geconsumeerd per capita in 2012</t>
  </si>
  <si>
    <t>aantal eieren geconsumeerd per eiereter in 2012</t>
  </si>
  <si>
    <t>Schol (vers)</t>
  </si>
  <si>
    <t>Pleuronectes platessa</t>
  </si>
  <si>
    <t>uitval landdieren</t>
  </si>
  <si>
    <t>productie van scharrelleghen in 2012</t>
  </si>
  <si>
    <t>aantal hennen nodig voor consumptie per persoon per jaar</t>
  </si>
  <si>
    <t>haantjes gedood</t>
  </si>
  <si>
    <r>
      <rPr>
        <rFont val="Arial"/>
        <sz val="10.0"/>
      </rPr>
      <t xml:space="preserve">productie leghennen per systeem Agrovision LegManager </t>
    </r>
    <r>
      <rPr>
        <rFont val="Arial"/>
        <color rgb="FF0000FF"/>
        <sz val="10.0"/>
      </rPr>
      <t>http://maken.wikiwijs.nl/bestanden/301061/Pluimvee%20technische%20cijfers%20in%202012.pdf</t>
    </r>
    <r>
      <rPr>
        <rFont val="Arial"/>
        <sz val="10.0"/>
      </rPr>
      <t xml:space="preserve"> 
aantal leghennen in Nederland, en verbruik eieren in 2012: PEV kentallen: </t>
    </r>
    <r>
      <rPr>
        <rFont val="Arial"/>
        <color rgb="FF0000FF"/>
        <sz val="10.0"/>
      </rPr>
      <t>https://www.agriholland.nl/cijfers/PVE_Vee,%20Vlees%20en%20Eieren%20in%20Nederland%202012.pdf</t>
    </r>
    <r>
      <rPr>
        <rFont val="Arial"/>
        <sz val="10.0"/>
      </rPr>
      <t xml:space="preserve"> </t>
    </r>
  </si>
  <si>
    <t>Forel (vers)</t>
  </si>
  <si>
    <t>Oncorhynchus mykiss</t>
  </si>
  <si>
    <t>We gebruiken amerikaanse cijfers om erachter te komen hoeveel moederdieren er nodig zijn om leghennen te verwekken en vervolgens passen we dit toe op hoeveel leghennen er zijn in Nederland om het aantal Nederlandse moederleghennen te bepalen.</t>
  </si>
  <si>
    <t>dieren voor Amerikaanse eierconsumptie in 2013</t>
  </si>
  <si>
    <t xml:space="preserve">Amerikaanse leghennen </t>
  </si>
  <si>
    <t>Amerikaanse moederleghennen</t>
  </si>
  <si>
    <t>hennen per moederleghen</t>
  </si>
  <si>
    <t>dieren gedood voor jaarlijkse Nederlandse eierconsumptie</t>
  </si>
  <si>
    <t xml:space="preserve">moederhennen </t>
  </si>
  <si>
    <t>haantjes</t>
  </si>
  <si>
    <t>Salmo trutta</t>
  </si>
  <si>
    <t>0.5 - 4</t>
  </si>
  <si>
    <t>voor zuivelconsumptie</t>
  </si>
  <si>
    <r>
      <rPr>
        <rFont val="Arial"/>
        <sz val="10.0"/>
      </rPr>
      <t xml:space="preserve">Aantal leghennen en moederleghennen in 2013 in de VS </t>
    </r>
    <r>
      <rPr>
        <rFont val="Arial"/>
        <color rgb="FF0000FF"/>
        <sz val="10.0"/>
      </rPr>
      <t>http://www.countinganimals.com/the-forgotten-mothers-of-chickens-we-eat/</t>
    </r>
    <r>
      <rPr>
        <rFont val="Arial"/>
        <sz val="10.0"/>
      </rPr>
      <t xml:space="preserve"> </t>
    </r>
  </si>
  <si>
    <t>Roodbaars (vers)</t>
  </si>
  <si>
    <t>Sebastes marinus</t>
  </si>
  <si>
    <t>1 - 5</t>
  </si>
  <si>
    <t>Als laatst berekenen we hoeveel moederdieren er nodig zijn om vleeskuikens te produceren. Deze groep is belangrijk omdat de dieren veel langer lijden dan de reguliere vleeskuikens. We nemen aan dat de productie van moedervleeskuikens hetzelfde is als die van moederleghennen.</t>
  </si>
  <si>
    <t>productie moedervleeskuikens</t>
  </si>
  <si>
    <t>aantal moedervleeskuikens nodig</t>
  </si>
  <si>
    <t>Overige verse vis [a] [b]</t>
  </si>
  <si>
    <t>N.B.</t>
  </si>
  <si>
    <t>melkgeiten</t>
  </si>
  <si>
    <t>geitenkalfjes</t>
  </si>
  <si>
    <t>voor eierconsumptie</t>
  </si>
  <si>
    <t>mannelijke kuikens</t>
  </si>
  <si>
    <t>Vis (diepvries)</t>
  </si>
  <si>
    <t>We berekenen het aantal dieren dat sterft voordat ze het slachthuis bereiken.</t>
  </si>
  <si>
    <t>Koolvis (diepvries)</t>
  </si>
  <si>
    <t>Pollachius pollachius</t>
  </si>
  <si>
    <t>0.5 - 3</t>
  </si>
  <si>
    <t>percentage uitval</t>
  </si>
  <si>
    <t>totaal dieren gedood voor vleeseter per jaar</t>
  </si>
  <si>
    <t>dieren tijdens process gestorven voor vleeseter per jaar</t>
  </si>
  <si>
    <t>dieren tijdens process gestorven voor vleeseter per leven</t>
  </si>
  <si>
    <t>leghennen</t>
  </si>
  <si>
    <t>catfish (meerval)</t>
  </si>
  <si>
    <t>kabeljauw</t>
  </si>
  <si>
    <t>zalm</t>
  </si>
  <si>
    <t>mannelijke kuikens_moederhen + vaderdieren (9:1)</t>
  </si>
  <si>
    <t>forel</t>
  </si>
  <si>
    <t>totaal vissen</t>
  </si>
  <si>
    <t>Pollachius virens</t>
  </si>
  <si>
    <t>Theragra chalcogramma</t>
  </si>
  <si>
    <t>0.6 - 0.8</t>
  </si>
  <si>
    <t>uitval dieren voor eierproductie</t>
  </si>
  <si>
    <t>kalfjes</t>
  </si>
  <si>
    <t>Kabeljauw (diepvries)</t>
  </si>
  <si>
    <t>garnalen</t>
  </si>
  <si>
    <t>totaal</t>
  </si>
  <si>
    <t>directe consumptie zeedieren</t>
  </si>
  <si>
    <r>
      <rPr>
        <rFont val="Arial"/>
        <sz val="10.0"/>
      </rPr>
      <t xml:space="preserve">uitval pluimvee: </t>
    </r>
    <r>
      <rPr>
        <rFont val="Arial"/>
        <color rgb="FF0000FF"/>
        <sz val="10.0"/>
      </rPr>
      <t xml:space="preserve">http://edepot.wur.nl/222179
</t>
    </r>
    <r>
      <rPr>
        <rFont val="Arial"/>
        <sz val="10.0"/>
      </rPr>
      <t xml:space="preserve">uitval catfish: </t>
    </r>
    <r>
      <rPr>
        <rFont val="Arial"/>
        <color rgb="FF0000FF"/>
        <sz val="10.0"/>
      </rPr>
      <t>http://www.aces.edu/dept/fisheries/aquaculture/pdf/G13MortalityManagement.pdf</t>
    </r>
    <r>
      <rPr>
        <rFont val="Arial"/>
        <sz val="10.0"/>
      </rPr>
      <t xml:space="preserve"> 
uitval zalm: </t>
    </r>
    <r>
      <rPr>
        <rFont val="Arial"/>
        <color rgb="FF0000FF"/>
        <sz val="10.0"/>
      </rPr>
      <t xml:space="preserve">https://books.google.nl/books?id=zoBQwU3hKRkC&amp;pg=PA1866&amp;lpg=PA1866&amp;dq=salmon+mortality+rate+%25+aquaculture&amp;source=bl&amp;ots=ct5VyxCZdn&amp;sig=5tVTn1XF80bYMKzSnhNMFIh7YHk&amp;hl=en&amp;sa=X&amp;redir_esc=y#v=onepage&amp;q=salmon%20mortality%20rate%20%25%20aquaculture&amp;f=false
</t>
    </r>
    <r>
      <rPr>
        <rFont val="Arial"/>
        <sz val="10.0"/>
      </rPr>
      <t xml:space="preserve">uitval forel: </t>
    </r>
    <r>
      <rPr>
        <rFont val="Arial"/>
        <color rgb="FF0000FF"/>
        <sz val="10.0"/>
      </rPr>
      <t xml:space="preserve">https://www.researchgate.net/publication/286177121_Growth_performance_fillet_quality_and_reproductive_maturity_of_rainbow_trout_Oncorhynchus_mykiss_cultured_to_5_kilograms_within_freshwater_recirculating_systems
</t>
    </r>
    <r>
      <rPr>
        <rFont val="Arial"/>
        <sz val="10.0"/>
      </rPr>
      <t xml:space="preserve">doodgeboren biggen en biggensterfte (2012): </t>
    </r>
    <r>
      <rPr>
        <rFont val="Arial"/>
        <color rgb="FF0000FF"/>
        <sz val="10.0"/>
      </rPr>
      <t>http://www.diereninformatie.be/sites/default/files/Brochure%20demoproject%20biggensterfte.pdf</t>
    </r>
    <r>
      <rPr>
        <rFont val="Arial"/>
        <sz val="10.0"/>
      </rPr>
      <t xml:space="preserve"> 
uitval garnalen </t>
    </r>
    <r>
      <rPr>
        <rFont val="Arial"/>
        <color rgb="FF0000FF"/>
        <sz val="10.0"/>
      </rPr>
      <t>https://en.wikipedia.org/wiki/Marine_shrimp_farming#Hatcheries</t>
    </r>
    <r>
      <rPr>
        <rFont val="Arial"/>
        <sz val="10.0"/>
      </rPr>
      <t xml:space="preserve"> </t>
    </r>
  </si>
  <si>
    <t>gevangen vissen (voor directe consumptie)</t>
  </si>
  <si>
    <t>Zalm (diepvries)</t>
  </si>
  <si>
    <t>gekweekte garnalen</t>
  </si>
  <si>
    <t>gevangen garnalen</t>
  </si>
  <si>
    <t>We berekenen hoeveel dieren sterven per kg product.</t>
  </si>
  <si>
    <t>We nemen aan dat het aandeel van het karkas van kalveren dat gegeten kan worden, hetzelfde is als dat van schapen en geiten.</t>
  </si>
  <si>
    <t>vlees productie dieren</t>
  </si>
  <si>
    <t>aandeel van karkasgewicht dat gegeten wordt</t>
  </si>
  <si>
    <t>kg vlees per dier</t>
  </si>
  <si>
    <t>dieren gedood per kg vlees</t>
  </si>
  <si>
    <t>Overige diepvriesvis [a] [b]</t>
  </si>
  <si>
    <t>Uitval zeedieren</t>
  </si>
  <si>
    <t>kweekvissen</t>
  </si>
  <si>
    <t>kweekgarnalen</t>
  </si>
  <si>
    <t>kippen</t>
  </si>
  <si>
    <r>
      <rPr>
        <rFont val="Arial"/>
        <sz val="10.0"/>
      </rPr>
      <t xml:space="preserve">karkas naar product zoogdieren: </t>
    </r>
    <r>
      <rPr>
        <rFont val="Arial"/>
        <color rgb="FF0000FF"/>
        <sz val="10.0"/>
      </rPr>
      <t xml:space="preserve">http://animalscience.psu.edu/extension/meat/pdf/The%20Butcher%20Stole%20My%20Meat.pdf
</t>
    </r>
    <r>
      <rPr>
        <rFont val="Arial"/>
        <sz val="10.0"/>
      </rPr>
      <t xml:space="preserve">vogels: </t>
    </r>
    <r>
      <rPr>
        <rFont val="Arial"/>
        <color rgb="FF0000FF"/>
        <sz val="10.0"/>
      </rPr>
      <t>http://aglifesciences.tamu.edu/posc/wp-content/uploads/sites/20/2012/08/l-2290.pdf</t>
    </r>
    <r>
      <rPr>
        <rFont val="Arial"/>
        <sz val="10.0"/>
      </rPr>
      <t xml:space="preserve"> </t>
    </r>
  </si>
  <si>
    <t>zeedieren voor vis- en veevoer</t>
  </si>
  <si>
    <t>Dieren gedood voor zuivel</t>
  </si>
  <si>
    <t>vissen gebruikt voor visvoer en veevoer_totaal</t>
  </si>
  <si>
    <t>Vis (gerookt)</t>
  </si>
  <si>
    <t>moederdieren gedood per kg melk</t>
  </si>
  <si>
    <t>garnalen gebruikt voor visvoer en veevoer_totaal</t>
  </si>
  <si>
    <t>Zalm (gerookt)</t>
  </si>
  <si>
    <t>kalveren gedood per moeder</t>
  </si>
  <si>
    <t>kalveren gedood per kg melk</t>
  </si>
  <si>
    <t>vissen voor leghenvoer</t>
  </si>
  <si>
    <t>totaal dieren gedood per kg melk</t>
  </si>
  <si>
    <t>garnalen voor leghenvoer</t>
  </si>
  <si>
    <t>Voor 1 kilo kaas is 10 liter koeienmelk, 9½ liter geitenmelk of 6 liter schapenmelk nodig. Bron: https://www.kaas.nl/nl/n/kaasweetjes/</t>
  </si>
  <si>
    <t>totaal dieren gedood per kg kaas</t>
  </si>
  <si>
    <t>Overige gerookte vis [a] [b]</t>
  </si>
  <si>
    <t>zeedieren bijvangst bij directe consumptie</t>
  </si>
  <si>
    <t>vissen totaal</t>
  </si>
  <si>
    <t>Dieren gedood voor eieren</t>
  </si>
  <si>
    <t>legkippen en haantjes gedood per ei</t>
  </si>
  <si>
    <t>gewicht ei</t>
  </si>
  <si>
    <t>garnalen totaal</t>
  </si>
  <si>
    <t>dieren gedood per kg ei</t>
  </si>
  <si>
    <r>
      <rPr>
        <rFont val="Arial"/>
        <sz val="10.0"/>
      </rPr>
      <t xml:space="preserve">gewicht ei </t>
    </r>
    <r>
      <rPr>
        <rFont val="Arial"/>
        <color rgb="FF0000FF"/>
        <sz val="10.0"/>
      </rPr>
      <t>https://nl.wikipedia.org/wiki/Ei_(voeding)#Classificatie</t>
    </r>
    <r>
      <rPr>
        <rFont val="Arial"/>
        <sz val="10.0"/>
      </rPr>
      <t xml:space="preserve"> </t>
    </r>
  </si>
  <si>
    <t xml:space="preserve">Vervolgens berekenen we hoeveel leed wordt veroorzaakt per dieet. </t>
  </si>
  <si>
    <t>Vissalades [c]</t>
  </si>
  <si>
    <t>Dieren gedood voor vis en andere zeedieren</t>
  </si>
  <si>
    <t>aannames:</t>
  </si>
  <si>
    <t>pescetariers eten even veel vis als omnivoren</t>
  </si>
  <si>
    <t>parttime vegetariers eten half de hoeveelheid dierlijke producten als omnivoren</t>
  </si>
  <si>
    <t>Surimi (verse bereiding)</t>
  </si>
  <si>
    <t>flexitariers eten 10% meer dierlijke producten dan vegetariers</t>
  </si>
  <si>
    <t>Diersoort</t>
  </si>
  <si>
    <t>flexinisten eten 10% de hoeveelheid dierlijke producten als vegetariers</t>
  </si>
  <si>
    <t>dieren gedood pppj</t>
  </si>
  <si>
    <t>Verwerkt gewicht (kg)</t>
  </si>
  <si>
    <t>gewervelde dieren gevangenschap direct</t>
  </si>
  <si>
    <t>Dieren gedood per kg</t>
  </si>
  <si>
    <t>gewervelde dieren gevangenschap indirect</t>
  </si>
  <si>
    <t>garnalen in gevangenschap direct</t>
  </si>
  <si>
    <t>garnalen  in gevangenschap indirect</t>
  </si>
  <si>
    <t>gewervelde wilde dieren direct</t>
  </si>
  <si>
    <t>gewervelde wilde dieren indirect</t>
  </si>
  <si>
    <t>Wilde garnalen  direct</t>
  </si>
  <si>
    <t>wilde garnalen indirect</t>
  </si>
  <si>
    <t>Dieren ‘gespaard’ pppj</t>
  </si>
  <si>
    <t>Vis (gemiddeld)</t>
  </si>
  <si>
    <t>omnivoor</t>
  </si>
  <si>
    <t>Ansjovis</t>
  </si>
  <si>
    <t>Grijze garnaal (gepeld, vers)</t>
  </si>
  <si>
    <t>Grijze garnaal (ongepeld, vers)</t>
  </si>
  <si>
    <t>Makreel (blik)</t>
  </si>
  <si>
    <t>Mosselen (vers)</t>
  </si>
  <si>
    <t>Overige vissalades [a] [b]</t>
  </si>
  <si>
    <t>pescetarier</t>
  </si>
  <si>
    <t>Scampi en gamba (diepvries)</t>
  </si>
  <si>
    <t>Tonijn (blik)</t>
  </si>
  <si>
    <t>Vissticks (diepvries)</t>
  </si>
  <si>
    <t>Zalm (blik)</t>
  </si>
  <si>
    <t>Dieren gedood voor insectenproducten</t>
  </si>
  <si>
    <t>Week- en schaaldieren (vers)</t>
  </si>
  <si>
    <t>Part-time vegetarier</t>
  </si>
  <si>
    <t>Schellak</t>
  </si>
  <si>
    <t>"300,000 lac insects are killed for every kilogram (2.2 lbs.) of lac resin produced"</t>
  </si>
  <si>
    <t>http://www.vrg.org/blog/2010/11/30/q-a-on-shellac</t>
  </si>
  <si>
    <t>Mytilus edulis</t>
  </si>
  <si>
    <t>0.010 - 0.025</t>
  </si>
  <si>
    <t>Honing</t>
  </si>
  <si>
    <t>NB aantal bijen benodigd, niet per definitie gedood</t>
  </si>
  <si>
    <t>https://www.quora.com/How-many-bees-and-how-much-time-is-needed-for-1-kg-honey</t>
  </si>
  <si>
    <t>Crangon crangon</t>
  </si>
  <si>
    <t>flexitarier</t>
  </si>
  <si>
    <t>0.001 - 0.003</t>
  </si>
  <si>
    <t>Insect / veggie burger (14% buffaloworm) by Damhert Insecta</t>
  </si>
  <si>
    <t>"As a rough guide, the 1 kg pack size contains about 6000 mealworms" &gt; buffalowormen ongeveer half zo groot</t>
  </si>
  <si>
    <t>https://www.livinfarms.com/blog-1/2018/7/24/mealworm-vs-buffalo-worm-what-is-the-difference</t>
  </si>
  <si>
    <t>vegetarier</t>
  </si>
  <si>
    <t>flexanist</t>
  </si>
  <si>
    <t>Overige [a] [b]</t>
  </si>
  <si>
    <t>veganist</t>
  </si>
  <si>
    <t>maanden leed veroorzaakt pppj</t>
  </si>
  <si>
    <t>maanden leed ‘gespaard’ pppj</t>
  </si>
  <si>
    <t>Week- en schaaldieren (diepvries)</t>
  </si>
  <si>
    <t>Metanephrops spp.</t>
  </si>
  <si>
    <t>0.035 - 0.038</t>
  </si>
  <si>
    <t>Penaeus spp.</t>
  </si>
  <si>
    <t>0.020 - 0.130</t>
  </si>
  <si>
    <t>Bereidingen (vers) [c] [d]</t>
  </si>
  <si>
    <t>Bereidingen (diepvries) [c] [d]</t>
  </si>
  <si>
    <t>dagen lijden per vleeseter per dag</t>
  </si>
  <si>
    <r>
      <rPr>
        <rFont val="Arial"/>
        <sz val="10.0"/>
      </rPr>
      <t xml:space="preserve">Levensduur verschillende dieren Saja. K (2012). The moral footprint of animal products. Agriculture and Human Values. 30:193-202
Levensduur kalveren: </t>
    </r>
    <r>
      <rPr>
        <rFont val="Arial"/>
        <color rgb="FF0000FF"/>
        <sz val="10.0"/>
      </rPr>
      <t>http://www.voedingscentrum.nl/encyclopedie/kalfsvlees.aspx#blok5</t>
    </r>
    <r>
      <rPr>
        <rFont val="Arial"/>
        <sz val="10.0"/>
      </rPr>
      <t xml:space="preserve"> 
Levensduur geiten </t>
    </r>
    <r>
      <rPr>
        <rFont val="Arial"/>
        <color rgb="FF0000FF"/>
        <sz val="10.0"/>
      </rPr>
      <t>http://oklahoma4h.okstate.edu/litol/file/animal/dairy/N-424_web.pdf</t>
    </r>
    <r>
      <rPr>
        <rFont val="Arial"/>
        <sz val="10.0"/>
      </rPr>
      <t xml:space="preserve"> 
Levensduur melkkoeien </t>
    </r>
    <r>
      <rPr>
        <rFont val="Arial"/>
        <color rgb="FF0000FF"/>
        <sz val="10.0"/>
      </rPr>
      <t>http://www.wur.nl/upload_mm/d/f/8/3793fe15-2169-41e5-b77b-2a01a14e39a2_130910%20Rapport%20668%20-%20Routekaart%20Levensduur_def%20versie.pdf</t>
    </r>
    <r>
      <rPr>
        <rFont val="Arial"/>
        <sz val="10.0"/>
      </rPr>
      <t xml:space="preserve">Levensduur leghennen: </t>
    </r>
    <r>
      <rPr>
        <rFont val="Arial"/>
        <color rgb="FF0000FF"/>
        <sz val="10.0"/>
      </rPr>
      <t xml:space="preserve">https://www.de-heus.nl/kennisbank/lang-leve-de-leghen-198
</t>
    </r>
    <r>
      <rPr>
        <rFont val="Arial"/>
        <sz val="10.0"/>
      </rPr>
      <t xml:space="preserve">Levensduur garnalen </t>
    </r>
    <r>
      <rPr>
        <rFont val="Arial"/>
        <color rgb="FF0000FF"/>
        <sz val="10.0"/>
      </rPr>
      <t>https://en.wikipedia.org/wiki/Marine_shrimp_farming#Supply_chain</t>
    </r>
    <r>
      <rPr>
        <rFont val="Arial"/>
        <sz val="10.0"/>
      </rPr>
      <t xml:space="preserve"> </t>
    </r>
  </si>
  <si>
    <t>Melanogrammus aeglefinus</t>
  </si>
  <si>
    <t>0.9 - 5</t>
  </si>
  <si>
    <t>Merlangius merlangus</t>
  </si>
  <si>
    <t>1 - 2</t>
  </si>
  <si>
    <t>Overige bereidingen [a] [b]</t>
  </si>
  <si>
    <t>Bokaal</t>
  </si>
  <si>
    <t>Clupea harengus</t>
  </si>
  <si>
    <t>0.1 - 0.5</t>
  </si>
  <si>
    <t>Conserven</t>
  </si>
  <si>
    <t>Katsuwonus pelamis</t>
  </si>
  <si>
    <t>Thunnus alalunga</t>
  </si>
  <si>
    <t>2.5 - 11.5</t>
  </si>
  <si>
    <t xml:space="preserve">Thunnus albacares </t>
  </si>
  <si>
    <t>Thunnus obesus</t>
  </si>
  <si>
    <t>Thunnus thynnus</t>
  </si>
  <si>
    <t>50 - 300</t>
  </si>
  <si>
    <t>Scomber scombrus</t>
  </si>
  <si>
    <t>0.5 - 1</t>
  </si>
  <si>
    <t>Trachurus trachurus</t>
  </si>
  <si>
    <t>Overige conserven [a] [b]</t>
  </si>
  <si>
    <t>Enkele belangrijke veronderstellingen die tijdens de berekeningen werden gemaakt:</t>
  </si>
  <si>
    <t>[a]</t>
  </si>
  <si>
    <t>Het gemiddeld gewicht voor het overige deel van de consumptiegroep is een gemiddelde van het gemiddeld gewicht van elk van de diersoorten binnen de desbetreffende groep.</t>
  </si>
  <si>
    <t>[b]</t>
  </si>
  <si>
    <t>De gemiddelde omrekeningsfactor voor het overige deel van de consumptiegroep is een gemiddelde van de gemiddelde omrekeningsfactoren van elk van de diersoorten binnen de groep.</t>
  </si>
  <si>
    <t>[c]</t>
  </si>
  <si>
    <t>Voor vissalades en verse en diepgevroren bereidingen werd de consumptie vermenigvuldigd met 0.80 om de aanwezigheid van andere ingrediënten in rekening te brengen.</t>
  </si>
  <si>
    <t>[d]</t>
  </si>
  <si>
    <t xml:space="preserve">We veronderstellen dat de verse en diepgevroren bereidingen voor de helft uit visbereidingen bestaan, en voor de andere helft uit week- en schaaldierbereidingen. </t>
  </si>
  <si>
    <t>Omdat Belgen een andere hoeveelheid vis eten dan Nederlanders, vinden we een omrekenfactor hiertussen. in het FAO visserijenjaarboek vinden we getallen over Belgische en Nederlandse consumptie. We gebruiken deze getallen niet zelf, maar we gebruiken ze om een omrekeningsfactor te creeren tussen Belgische en Nederlandse consumptie zodat we kunnen bepalen wat het Nederlandse equivalent is van de cijfers van EVA.</t>
  </si>
  <si>
    <t>aandeel vleeseters in Nederland</t>
  </si>
  <si>
    <t>zeedierenconsumptie vleesetende belg per jaar</t>
  </si>
  <si>
    <t>zeedierenconsumptie vleesetende Nederlander per jaar</t>
  </si>
  <si>
    <t>Deze berekeningen zijn in 2015 uitgevoerd door Marianne van der Werff, met ondersteuning van Pablo Moleman, in opdracht van ProVeg Nederland</t>
  </si>
  <si>
    <t>Factor consumptie belgie/nederland</t>
  </si>
  <si>
    <t>Voor vragen, neem contact op met pablo.moleman@proveg.com</t>
  </si>
  <si>
    <r>
      <rPr>
        <rFont val="Arial"/>
        <sz val="10.0"/>
      </rPr>
      <t xml:space="preserve">Zeedierenconsumptie Belg en Nederlander per capita: </t>
    </r>
    <r>
      <rPr>
        <rFont val="Arial"/>
        <color rgb="FF0000FF"/>
        <sz val="10.0"/>
      </rPr>
      <t>http://www.fao.org/3/478cfa2b-90f0-4902-a836-94a5dddd6730/i3740t.pdf</t>
    </r>
    <r>
      <rPr>
        <rFont val="Arial"/>
        <sz val="10.0"/>
      </rPr>
      <t xml:space="preserve"> p67</t>
    </r>
  </si>
  <si>
    <t xml:space="preserve">Hier tellen we de de dieren bijelkaar op om te vinden hoeveel vissen en garnalen en krabben er door Belgen gegeten worden en rekenen we dit om naar Nederlandse consumptie via de omrekeningsfactor. Voor de salades, verse en diepvriesbereidingen nemen we aan dat 20% uit niet-dierlijke produceten bestaat. Voor de verse en diepgevroren bereidingen nemen we uit dat de helft uit visbereidingen bestaat en de andere helft uit week- en schaaldieren. Van deze laatste groep hebben we berekend wat het aandeel van garnalen hierin is. We nemen garnalen mee maar geen mosselen omdat garnalen een zenuwstelsel hebben en mosselen niet. Helaas zijn de cijfers die we voor garnalenconsumptie hebben erg speculatief. Omdat producten als garnalenkroketten populair zijn in Belgie maar niet in Nederland nemen we aan dat in Nederland 50% zoveel garnalen als in Belgie worden gegeten. </t>
  </si>
  <si>
    <t>Hoeveelheid garnalen die een Nederlander eet tov een Belg</t>
  </si>
  <si>
    <t>Belgie pppj</t>
  </si>
  <si>
    <t>Nederland pppj</t>
  </si>
  <si>
    <t>Vissen</t>
  </si>
  <si>
    <t>garnalen en krabben</t>
  </si>
  <si>
    <t>Aantal gekweekte vissen</t>
  </si>
  <si>
    <t>Aantal gevangen vissen</t>
  </si>
  <si>
    <t>aandeel gekweekte vissen</t>
  </si>
  <si>
    <t>maanden lijden</t>
  </si>
  <si>
    <t>Maanden lijden per gekweekte vis gemiddeld</t>
  </si>
  <si>
    <t>Om een inschatting te maken van het aantal garnalen dat gekweekt wordt, gebruiken we het deel van de garnalen waarover we weten in of ze gekweekt of gevangen worden. Vervolgens rekenen we terug van het totaal garnalen in Nederland</t>
  </si>
  <si>
    <t>deel van geheel</t>
  </si>
  <si>
    <t>De consumptie per subgroep: Persoonlijke communicatie met Nancy Fockedey (VLIZ - Vlaams Instituut voor de Zee). Tabel: Visconsumptie Vlaanderen 2005 (GfK voor VLIZ). Nota: bron van de cijfergegevens is GfK Panel Services Benelux (http://www.gfk.be/).</t>
  </si>
  <si>
    <t>De consumptie per subgroep: Nancy Fockedey. (2006). De Vruchten van de Zee. De Grote Rede, nr. 16 (juni 2006). VLIZ - Vlaams Instituut voor de Zee. Wandelaarkaai 7, B-8400, Oostende. (http://www.vliz.be/docs/groterede/GR16_Zeevruchten_Consumptie_Vlaanderen.pdf).</t>
  </si>
  <si>
    <t>Welke diersoorten worden precies gegeten, wat is hun levend gewicht. Voor de cijfergegevens in deze tabel werd een beroep gedaan op de volgende websites, databases en online documenten:</t>
  </si>
  <si>
    <t>Animal Diversity Web (http://animaldiversity.ummz.umich.edu/).</t>
  </si>
  <si>
    <t>ERMS, The European Register of Marine Species (http://www.marbef.org/data/erms.php).</t>
  </si>
  <si>
    <t>FAO, Fisheries and Aquaculture Department - Aquatic Species Fact Sheets (http://www.fao.org/fi/website/FISearch.do?dom=species).</t>
  </si>
  <si>
    <t>FishBase (http://www.fishbase.org/).</t>
  </si>
  <si>
    <t xml:space="preserve">Fisheries and Oceans Canada Online - Fish &amp; Aquatic Life (http://www.dfo-mpo.gc.ca/zone/under-sous_e.htm). </t>
  </si>
  <si>
    <t>FISHONLINE (http://www.fishonline.org/).</t>
  </si>
  <si>
    <t>Goede VIS - Online VISgids (http://www.goedevis.nl/?cid=6).</t>
  </si>
  <si>
    <t>Keukentheorie - Warenkennis (http://www.keukentheorie.net/Inleiding.html).</t>
  </si>
  <si>
    <t>Mistakidis, M.N. (Ed.) (1970). Proceedings of the World Scientific Conference on the Biology and Culture of shrimps and Prawns, Mexico City, Mexico, June 12–21, 1967. Volume 4. Species synopses. FAO Fish. Rep., (57) Vol.4: 1167-1627. (http://www.fao.org/docrep/005/AC765T/AC765T00.htm#TOC).</t>
  </si>
  <si>
    <t>Nancy Fockedey. (2005). Vissen met toekomst. De Grote Rede, nr. 15 (december 2005). VLIZ - Vlaams Instituut voor de Zee. Wandelaarkaai 7, B-8400, Oostende. (http://www.vliz.be/docs/groterede/GR15_vissen_met_toekomst.pdf).</t>
  </si>
  <si>
    <t>SoortenBank.nl (http://www.soortenbank.nl/).</t>
  </si>
  <si>
    <t>TISBe, Taxonomic Information System for the Belgian coastal area (http://www.vliz.be/vmdcdata/tisbe/).</t>
  </si>
  <si>
    <t>Vishandel Luk - Vissoorten (http://www.vishandel.net/viscatalogus/vis.cfm).</t>
  </si>
  <si>
    <t>Vishandel Steloy - Aquarium (http://www.steloy.be/).</t>
  </si>
  <si>
    <t>Vishandel-Traiteur Erwin &amp; Martine - Vis O' Theek (http://www.erwinenmartine.be/visotheek.php?lang=nl).</t>
  </si>
  <si>
    <t>Visinfo.be - Alles over Vis (http://www.visinfo.be/vis/list_nl.phtml).</t>
  </si>
  <si>
    <t>Zeevisserijbedrijf Jan van den Berg en Zonen B.V. - Vissoorten (http://duurzaamvissen.nl/vdbergbv/index.php?option=com_content&amp;task=view&amp;id=26&amp;Itemid=41).</t>
  </si>
  <si>
    <t>Omrekeningsfactor:</t>
  </si>
  <si>
    <t>De waarden van de (gemiddelde) omrekeningsfactoren werden berekend op basis van cijfergegevens uit de volgende online documenten:</t>
  </si>
  <si>
    <t>Europese Commissie - Visserij - Het Gemeenschappelijk Visserijbeleid - Controle en rechtshandhaving - Omrekeningsfactoren voor vis: van verwerkt gewicht naar levend gewicht (http://ec.europa.eu/fisheries/cfp/control_enforcement/conversionfactors_nl.htm).</t>
  </si>
  <si>
    <t>New Zealand Ministry of Fisheries - Fisheries (Conversion Factors) Amendment Notice 2005 (http://www.fish.govt.nz/NR/rdonlyres/E264B2E8-4B02-4FA5-8540-91B737D45499/0/CFNoticeSchedules.pdf).</t>
  </si>
  <si>
    <t>Teutscher, F. (Ed.). (1992). Proceedings of the symposium on post-harvest fish technology. Cairo, Egypt, October 21-22, 1990. CIFA Technical Paper. No. 19. Rome, FAO. 117 p. (http://www.fao.org/docrep/005/T0606B/T0606B00.htm#TOC).</t>
  </si>
  <si>
    <t>The Knowledge Basket - New Zealand Ministry of Fisheries - Fisheries (Conversion Factors) Notice 2000 (http://www.knowledge-basket.co.nz/regs/regs/text/2000/2000170.txt).</t>
  </si>
  <si>
    <t>Torry Research Station, Aberdeen (UK). (1989). Yield and nutritional value of the commercially more important fish species. FAO Fisheries Technical Paper. No. 309. Rome, FAO. 187p. (http://www.fao.org/DOCREP/003/T0219E/T0219E00.htm#TOC).</t>
  </si>
  <si>
    <t>Aandeel gekweekte forellen (steelhead)</t>
  </si>
  <si>
    <r>
      <rPr>
        <rFont val="Arial"/>
        <color rgb="FF0000FF"/>
        <sz val="10.0"/>
      </rPr>
      <t>https://en.wikipedia.org/wiki/Aquaculture_of_salmonids#Wild_versus_farmed</t>
    </r>
    <r>
      <rPr>
        <rFont val="Arial"/>
        <sz val="10.0"/>
      </rPr>
      <t xml:space="preserve"> </t>
    </r>
  </si>
  <si>
    <t>Aandeel gekweekte kabeljauwen</t>
  </si>
  <si>
    <r>
      <rPr>
        <rFont val="Arial"/>
        <color rgb="FF0000FF"/>
        <sz val="10.0"/>
      </rPr>
      <t>http://www.thefishsite.com/articles/1460/cultured-aquatic-species-atlantic-cod/</t>
    </r>
    <r>
      <rPr>
        <rFont val="Arial"/>
        <sz val="10.0"/>
      </rPr>
      <t xml:space="preserve"> </t>
    </r>
  </si>
  <si>
    <t>Aandeel gekweekte zalm</t>
  </si>
  <si>
    <r>
      <rPr>
        <rFont val="Arial"/>
        <color rgb="FF0000FF"/>
        <sz val="10.0"/>
      </rPr>
      <t>https://en.wikipedia.org/wiki/Aquaculture_of_salmonids#Wild_versus_farmed</t>
    </r>
    <r>
      <rPr>
        <rFont val="Arial"/>
        <sz val="10.0"/>
      </rPr>
      <t xml:space="preserve"> </t>
    </r>
  </si>
  <si>
    <t>Beschikbaarheid van wilde/gekweekte vissen van andere soorten</t>
  </si>
  <si>
    <r>
      <rPr>
        <rFont val="Arial"/>
        <color rgb="FF0000FF"/>
        <sz val="10.0"/>
      </rPr>
      <t>https://www.ah.nl/</t>
    </r>
    <r>
      <rPr>
        <rFont val="Arial"/>
        <sz val="10.0"/>
      </rPr>
      <t xml:space="preserve"> </t>
    </r>
  </si>
  <si>
    <r>
      <rPr>
        <rFont val="Arial"/>
        <sz val="10.0"/>
      </rPr>
      <t xml:space="preserve">Maanden lijden per zalm: </t>
    </r>
    <r>
      <rPr>
        <rFont val="Arial"/>
        <color rgb="FF0000FF"/>
        <sz val="10.0"/>
      </rPr>
      <t>http://kb.rspca.org.au/How-are-farmed-Atlantic-salmon-bred_661.html</t>
    </r>
    <r>
      <rPr>
        <rFont val="Arial"/>
        <sz val="10.0"/>
      </rPr>
      <t xml:space="preserve"> </t>
    </r>
  </si>
  <si>
    <r>
      <rPr>
        <rFont val="Arial"/>
        <sz val="10.0"/>
      </rPr>
      <t xml:space="preserve">Maanden lijder per kabeljauw </t>
    </r>
    <r>
      <rPr>
        <rFont val="Arial"/>
        <color rgb="FF0000FF"/>
        <sz val="10.0"/>
      </rPr>
      <t>http://www.nmfs.noaa.gov/mb/sk/pdf/Report_18.pdf</t>
    </r>
    <r>
      <rPr>
        <rFont val="Arial"/>
        <sz val="10.0"/>
      </rPr>
      <t xml:space="preserve"> </t>
    </r>
  </si>
  <si>
    <r>
      <rPr>
        <rFont val="Arial"/>
        <sz val="10.0"/>
      </rPr>
      <t xml:space="preserve">Maanden lijden per forel </t>
    </r>
    <r>
      <rPr>
        <rFont val="Arial"/>
        <color rgb="FF0000FF"/>
        <sz val="10.0"/>
      </rPr>
      <t>http://www.thefishsite.com/articles/907/cultured-aquaculture-species-rainbow-trout/</t>
    </r>
    <r>
      <rPr>
        <rFont val="Arial"/>
        <sz val="10.0"/>
      </rPr>
      <t xml:space="preserve"> </t>
    </r>
  </si>
  <si>
    <t xml:space="preserve">Om te berekenen hoeveel vissen er voor veevoer gedoodt worden, volgen we de berekeningen van countinganimals, dit zijn amerikaanse cijfers. We vervangen daarom de soorten die in Amerika gegeten worden met de soorten die in Belgie gegeten worden (we gaan er vanuit dat in Nederland dezelfde soorten gegeten worden).  </t>
  </si>
  <si>
    <t>Eerst berekenen we de verhoudingen van de dieren waarvan we weten tot welke soort ze horen. Vervolgens gaan we er vanuit dat voor de rest van de vissen deze verhouding tussen de soorten hetzelfde is en kunnen we berekenen precies hoeveel kilogram van elke vissoort er gekweekt wordt. Het feed conversion ratio is de verhouding tussen hoeveel voedsel een vis moet binnenkrijgen om een kilo te groeien. Ook weten we het aandeel vismeel en visolie in het dieet van de vissen. Door dit aandeel met de conversiefactor met het levend gewicht te vermenigvuldigen, krijgen we de hoeveelheid vismeel en visolie die nodig is om de hoeveelheid vis te produceren die gegeten wordt door een visetenende nederlander in een jaar.</t>
  </si>
  <si>
    <t>gekweekte dieren:</t>
  </si>
  <si>
    <t>consumptie pppj (kg)</t>
  </si>
  <si>
    <t>consumptie pppj in levend gewicht</t>
  </si>
  <si>
    <t>consumptie gekweekte vis pppj in levend gewicht</t>
  </si>
  <si>
    <t>feed conversion ratio</t>
  </si>
  <si>
    <t>aandeel vismeel in dieet van vis</t>
  </si>
  <si>
    <t>vismeel nodig voor visconsumptie pppj (kg)</t>
  </si>
  <si>
    <t>aandeel visolie in dieet</t>
  </si>
  <si>
    <t>visolie nodig voor visconsumptie pppj (kg)</t>
  </si>
  <si>
    <r>
      <rPr>
        <rFont val="Arial"/>
        <sz val="10.0"/>
      </rPr>
      <t xml:space="preserve">Amerikaanse berekeningen </t>
    </r>
    <r>
      <rPr>
        <rFont val="Arial"/>
        <color rgb="FF0000FF"/>
        <sz val="10.0"/>
      </rPr>
      <t>http://www.countinganimals.com/the-fish-we-kill-to-feed-the-fish-we-eat/</t>
    </r>
    <r>
      <rPr>
        <rFont val="Arial"/>
        <sz val="10.0"/>
      </rPr>
      <t xml:space="preserve"> </t>
    </r>
  </si>
  <si>
    <r>
      <rPr>
        <rFont val="Arial"/>
        <sz val="10.0"/>
      </rPr>
      <t xml:space="preserve">Feed conversion ratio kabeljauw </t>
    </r>
    <r>
      <rPr>
        <rFont val="Arial"/>
        <color rgb="FF0000FF"/>
        <sz val="10.0"/>
      </rPr>
      <t>https://web.archive.org/web/20090510004211/http://www.aquaculture.ca/files/species-atlantic-cod.php</t>
    </r>
    <r>
      <rPr>
        <rFont val="Arial"/>
        <sz val="10.0"/>
      </rPr>
      <t xml:space="preserve"> </t>
    </r>
  </si>
  <si>
    <t>Vismeel wordt ook gevoerd aan kippen en varkens. We weten via counting animals dat 20% van de wereldwijde productie van vismeel naar varkens gaat, en 5% naar kippen. Om te berekenen in welke mate Nederlanders hier verantwoordelijk voor zijn bekijken we hoeveel van de wereldwijde productie aan varkensvlees en kippenvlees naar Nederlanders gaat. We vermenigvuldigen het aandeel vismeel dat naar deze dieren gaat met het aandeel van de dieren dat naar Nederlanders gaat met de wereldwijde hoeveelheid vismeel om de hoeveelheid vismeel te krijgen dat nodig is voor Nederlandse consumptie van kippen en varkens.</t>
  </si>
  <si>
    <t>wereldwijde hoeveelheid vismeel</t>
  </si>
  <si>
    <t>aandeel vismeel</t>
  </si>
  <si>
    <t>vismeel nodig (kg)</t>
  </si>
  <si>
    <t>aantal kippen wereldwijd gedood per jaar</t>
  </si>
  <si>
    <t>aandeel nederland</t>
  </si>
  <si>
    <t>aantal varkens jaarlijks gedood wereldwijd</t>
  </si>
  <si>
    <t>Nu we weten hoeveel vismeel er nodig is voor kippen, varkens en zeedieren, berekenen we hoeveel vissen en nodig zijn om deze hoeveelheid te produceren. Volgens countinganimals zorgt een kilo wilde vis voor 0.225 kilo vismeel en 0.045 kilo visolie. Omdat een vis voor zowel voor olie als meel wordt gebruikt is alleen de groep waan de hoogste vraag naar is relevant.</t>
  </si>
  <si>
    <t>vismeel nodig voor Nederlandse consumptie van (kg)</t>
  </si>
  <si>
    <t>visolie nodig voor Nederlandse consumptie (kg)</t>
  </si>
  <si>
    <t>vis nodig voor vismeel (kg)</t>
  </si>
  <si>
    <t>vis nodig voor visolie (kg)</t>
  </si>
  <si>
    <t>totaal vis nodig (kg)</t>
  </si>
  <si>
    <t>aquacultuur</t>
  </si>
  <si>
    <t>kip</t>
  </si>
  <si>
    <t>totaal:</t>
  </si>
  <si>
    <t>Wereldwijde hoeveelheid vismeel http://www.countinganimals.com/the-fish-we-kill-to-feed-the-fish-we-eat/</t>
  </si>
  <si>
    <r>
      <rPr>
        <rFont val="Arial"/>
        <sz val="10.0"/>
      </rPr>
      <t xml:space="preserve">Wereldwijd aantal kippen geslacht </t>
    </r>
    <r>
      <rPr>
        <rFont val="Arial"/>
        <color rgb="FF0000FF"/>
        <sz val="10.0"/>
      </rPr>
      <t>http://www.animalethics.org.uk/110125m-chickens.jpg</t>
    </r>
    <r>
      <rPr>
        <rFont val="Arial"/>
        <sz val="10.0"/>
      </rPr>
      <t xml:space="preserve"> </t>
    </r>
  </si>
  <si>
    <r>
      <rPr>
        <rFont val="Arial"/>
        <sz val="10.0"/>
      </rPr>
      <t xml:space="preserve">Wereldwijd aantal varkens geslacht </t>
    </r>
    <r>
      <rPr>
        <rFont val="Arial"/>
        <color rgb="FF0000FF"/>
        <sz val="10.0"/>
      </rPr>
      <t>http://www.animalethics.org.uk/i-ch7-3-pigs.html</t>
    </r>
    <r>
      <rPr>
        <rFont val="Arial"/>
        <sz val="10.0"/>
      </rPr>
      <t xml:space="preserve"> </t>
    </r>
  </si>
  <si>
    <t>Via de cijfers van counting animals berekenen we het gemiddelde gewicht van een vis die voor vismeel en olie wordt gebruikt. We nemen aan dat in Nederland dezelfde soorten als in Amerika gebruikt worden.</t>
  </si>
  <si>
    <t>gewicht</t>
  </si>
  <si>
    <t>aandeel in geheel</t>
  </si>
  <si>
    <t>aantal dieren (midpunt)</t>
  </si>
  <si>
    <t>gemiddeld gewicht dieren</t>
  </si>
  <si>
    <t>kg dieren gedood voor vismeel/visolie</t>
  </si>
  <si>
    <t>kg garnalen gedood voor vismeel/visolie</t>
  </si>
  <si>
    <t>kg vissen gedood voor vismeel/visolie</t>
  </si>
  <si>
    <t>Omdat dezelfde vissen voor olie zowel voor meel kunnen worden gebruikt, is voor een vlees- en viseter alleen de groep waar de hoogste vraag naar is relevant. Omdat kippen ook vismeel krijgen, rekenen we apart uit waar een eiereten verantwoordelijk voor is. We maken eerst een schatting voor welk aandeel van het vismeel voor kippen gaat naar leghennen.</t>
  </si>
  <si>
    <t>aantal dieren gedood pppj</t>
  </si>
  <si>
    <t>aantal dieren pppj</t>
  </si>
  <si>
    <t>levensduur per dier</t>
  </si>
  <si>
    <t>percentage vismeel in dieet</t>
  </si>
  <si>
    <t>verhoudingen vismeel nodig pppj</t>
  </si>
  <si>
    <t xml:space="preserve">kg vis nodig voor vismeel eierproductie </t>
  </si>
  <si>
    <t>voor omnivoor/pescetarier</t>
  </si>
  <si>
    <t>voor vegetarier</t>
  </si>
  <si>
    <t>aantal vissen gedood voor vismeel/visolie totaal</t>
  </si>
  <si>
    <t>aantal garnalen gedood voor vismeel/visolie totaal</t>
  </si>
  <si>
    <t>aantaal vissen gedood voor vismeel/visolie pppj</t>
  </si>
  <si>
    <t>aantal garnalen gedood voor vismeel/visolie pppj</t>
  </si>
  <si>
    <r>
      <rPr>
        <rFont val="Arial"/>
        <sz val="10.0"/>
      </rPr>
      <t xml:space="preserve">Gewichten van dieren die gedood worden voor vismeel/visolie: </t>
    </r>
    <r>
      <rPr>
        <rFont val="Arial"/>
        <color rgb="FF0000FF"/>
        <sz val="10.0"/>
      </rPr>
      <t>http://www.countinganimals.com/the-fish-we-kill-to-feed-the-fish-we-eat/</t>
    </r>
    <r>
      <rPr>
        <rFont val="Arial"/>
        <sz val="10.0"/>
      </rPr>
      <t xml:space="preserve"> 
Aandeel vismeel in dieet van kippen </t>
    </r>
    <r>
      <rPr>
        <rFont val="Arial"/>
        <color rgb="FF0000FF"/>
        <sz val="10.0"/>
      </rPr>
      <t>http://www.sprcentre.com/Online-Shop-Categories/Poultry-Supplements-and-Tonics/Fish-Meal-for-Chickens-1kg</t>
    </r>
    <r>
      <rPr>
        <rFont val="Arial"/>
        <sz val="10.0"/>
      </rPr>
      <t xml:space="preserve"> 
De meeste dieren die gebruikt worden als voer worden hier speciaal voor gevangen: </t>
    </r>
    <r>
      <rPr>
        <rFont val="Arial"/>
        <color rgb="FF0000FF"/>
        <sz val="10.0"/>
      </rPr>
      <t>http://edis.ifas.ufl.edu/fa122</t>
    </r>
    <r>
      <rPr>
        <rFont val="Arial"/>
        <sz val="10.0"/>
      </rPr>
      <t xml:space="preserve"> </t>
    </r>
  </si>
  <si>
    <t>Er zijn regulaties die discards (bijvangst die in zee geloosd wordt) te verminderen. Dit kan op verschillende manieren zoals de manier van vis vangen aanpassen zodat er minder bijvangst is, maar ook door de bijvangst aan land mee te nemen en het verwerken in producten. Bijvangst is niet voor menselijke consumptie en er moeten dus alternatieven voor gevonden worden  Er zijn verschillende gebruiken voor bijvangst zoals mest voor biologische boerderijen, voedsel voor nertsen maar ook visolie. Er zijn nog geen cijfers beschikbaar voor hoeveel bijvangst en discards er nog zijn nu de aanlandplicht is ingegaan, of hoe de bijvangst nu gebruikt wordt. Hierom gaan we uit van de getallen die beschikbaar zijn van voordat de aanlandplicht is ingegaan.</t>
  </si>
  <si>
    <t>Voor bijvangst maken we onderscheid tussen de garnalenvangst en visvangst. Voor garnalenvangst maken we gebruik van een onderzoek van de Wageningen Universiteit die de bijvangst van garnalenvissen in kaart heeft gebracht. We nemen aan dat alle gevangen garnalen in de Noordzee gevangen zijn. Ongeveer de helft van het gewicht aan garnalen dat binnenkomt wordt afgevoerd omdat ze te klein zijn. We nemen hier aan dat deze garnalen 0.8 maal zo zwaar zijn als de aangelande garnalen. De platvis als bijvangst is vaak jonge schol van kleiner dan 10 cm. Ook hier maken we een grove schatting van gewicht per dier. Voor de rondvis maken we een grove schatting gebaseerd op het gemiddeld gewicht van de de diersoorten die genoemd worden in het onderzoek. Hiervoor zoeken we de gemiddelde lengte van de vissen op en schatten we hun gewicht door de gewicht naar lengte conversie van een vis (gekozen voor kabeljauw) te gebruiken. Voor bodemdieren worden strandkrabben, zwemkrabben en zeesterren genoemd. Hiervan berekenen we het gemiddelde gewicht. We gebruiken het gewicht van de strandkrab om dat van de zwemkrab te schatten. Het aandeel dat sterft wordt in het onderzoek ook behandeld. Voor rondvissen en bodemdieren staan geen exacte getallen maar we nemen aan dat “rondvissen sterven vrijwel allemaal” betekent dat 97% van de dieren sterven. Over bodemdieren wordt gezegd “waarschijnlijk is de overleving redelijk goed”, we nemen aan dat dit bekekent dat 10% sterft.</t>
  </si>
  <si>
    <t>Bijvangst bij garnalenvisserij</t>
  </si>
  <si>
    <t>gewicht aandeel van geheel</t>
  </si>
  <si>
    <t>gewicht per dier</t>
  </si>
  <si>
    <t xml:space="preserve">aantal dieren gevangen per kilo </t>
  </si>
  <si>
    <t>aandeel dat sterft</t>
  </si>
  <si>
    <t>aantal dieren dat sterft per kilo totaal</t>
  </si>
  <si>
    <t>aantal dieren dat extra sterft per garnaal</t>
  </si>
  <si>
    <t>aangelande garnalen</t>
  </si>
  <si>
    <t>bijvangst garnalen</t>
  </si>
  <si>
    <t>platvis</t>
  </si>
  <si>
    <t>rondvis</t>
  </si>
  <si>
    <t>bodemdieren</t>
  </si>
  <si>
    <t>Garnalen en bodemdieren die sterven als bijvangst voor directe consumptie pppj</t>
  </si>
  <si>
    <t>garnalen en bodemdieren die sterven als bijvangst voor voer pppj</t>
  </si>
  <si>
    <t>vissen die sterven als bijvangst voor directe consumptie pppj</t>
  </si>
  <si>
    <t>vissen die sterven als bijvangst als bijvangst voor voer pppj</t>
  </si>
  <si>
    <r>
      <rPr>
        <rFont val="Arial"/>
        <sz val="10.0"/>
      </rPr>
      <t xml:space="preserve">Onderzoek Wageningen Universiteit bijvangst bij garnalenvisserijen </t>
    </r>
    <r>
      <rPr>
        <rFont val="Arial"/>
        <color rgb="FF0000FF"/>
        <sz val="10.0"/>
      </rPr>
      <t>http://www.wur.nl/upload_mm/2/5/f/a1944b99-6157-42f2-b959-86206d4b9dac_Discards_garnalenvisserij_vdec12.pdf</t>
    </r>
    <r>
      <rPr>
        <rFont val="Arial"/>
        <sz val="10.0"/>
      </rPr>
      <t xml:space="preserve"> 
lengte grondel is 10 cm </t>
    </r>
    <r>
      <rPr>
        <rFont val="Arial"/>
        <color rgb="FF0000FF"/>
        <sz val="10.0"/>
      </rPr>
      <t>https://nl.wikipedia.org/wiki/Gobiidae</t>
    </r>
    <r>
      <rPr>
        <rFont val="Arial"/>
        <sz val="10.0"/>
      </rPr>
      <t xml:space="preserve"> 
lengte wijting is 24 cm </t>
    </r>
    <r>
      <rPr>
        <rFont val="Arial"/>
        <color rgb="FF0000FF"/>
        <sz val="10.0"/>
      </rPr>
      <t>https://nl.wikipedia.org/wiki/Wijting</t>
    </r>
    <r>
      <rPr>
        <rFont val="Arial"/>
        <sz val="10.0"/>
      </rPr>
      <t xml:space="preserve"> 
lengte harnasmannetje is 14 cm </t>
    </r>
    <r>
      <rPr>
        <rFont val="Arial"/>
        <color rgb="FF0000FF"/>
        <sz val="10.0"/>
      </rPr>
      <t>https://nl.wikipedia.org/wiki/Harnasmannetje</t>
    </r>
    <r>
      <rPr>
        <rFont val="Arial"/>
        <sz val="10.0"/>
      </rPr>
      <t xml:space="preserve"> 
lengte haring is 45 cm </t>
    </r>
    <r>
      <rPr>
        <rFont val="Arial"/>
        <color rgb="FF0000FF"/>
        <sz val="10.0"/>
      </rPr>
      <t>https://nl.wikipedia.org/wiki/Haring_(soort</t>
    </r>
    <r>
      <rPr>
        <rFont val="Arial"/>
        <sz val="10.0"/>
      </rPr>
      <t xml:space="preserve">) 
lengte kleine zeenaald is 10 cm </t>
    </r>
    <r>
      <rPr>
        <rFont val="Arial"/>
        <color rgb="FF0000FF"/>
        <sz val="10.0"/>
      </rPr>
      <t>https://nl.wikipedia.org/wiki/Kleine_zeenaald</t>
    </r>
    <r>
      <rPr>
        <rFont val="Arial"/>
        <sz val="10.0"/>
      </rPr>
      <t xml:space="preserve"> 
lengte spiering is 30 cm </t>
    </r>
    <r>
      <rPr>
        <rFont val="Arial"/>
        <color rgb="FF0000FF"/>
        <sz val="10.0"/>
      </rPr>
      <t>https://nl.wikipedia.org/wiki/Spiering</t>
    </r>
    <r>
      <rPr>
        <rFont val="Arial"/>
        <sz val="10.0"/>
      </rPr>
      <t xml:space="preserve"> 
lengte gewicht conversie van kabeljauw </t>
    </r>
    <r>
      <rPr>
        <rFont val="Arial"/>
        <color rgb="FF0000FF"/>
        <sz val="10.0"/>
      </rPr>
      <t xml:space="preserve">http://www.anglingaddicts.co.uk/fish-length-to-weight/
</t>
    </r>
    <r>
      <rPr>
        <rFont val="Arial"/>
        <sz val="10.0"/>
      </rPr>
      <t xml:space="preserve">gewicht strandkrab is 50 gram </t>
    </r>
    <r>
      <rPr>
        <rFont val="Arial"/>
        <color rgb="FF0000FF"/>
        <sz val="10.0"/>
      </rPr>
      <t xml:space="preserve">http://edepot.wur.nl/345290
</t>
    </r>
    <r>
      <rPr>
        <rFont val="Arial"/>
        <sz val="10.0"/>
      </rPr>
      <t xml:space="preserve">lengte strandkrab is 9 cm </t>
    </r>
    <r>
      <rPr>
        <rFont val="Arial"/>
        <color rgb="FF0000FF"/>
        <sz val="10.0"/>
      </rPr>
      <t>https://nl.wikipedia.org/wiki/Strandkrab</t>
    </r>
    <r>
      <rPr>
        <rFont val="Arial"/>
        <sz val="10.0"/>
      </rPr>
      <t xml:space="preserve"> 
lengte zwemkrab is 57 mm </t>
    </r>
    <r>
      <rPr>
        <rFont val="Arial"/>
        <color rgb="FF0000FF"/>
        <sz val="10.0"/>
      </rPr>
      <t>https://nl.wikipedia.org/wiki/Gewone_zwemkrab</t>
    </r>
    <r>
      <rPr>
        <rFont val="Arial"/>
        <sz val="10.0"/>
      </rPr>
      <t xml:space="preserve"> 
lengte gewone zeester is 10 tot 30 cm </t>
    </r>
    <r>
      <rPr>
        <rFont val="Arial"/>
        <color rgb="FF0000FF"/>
        <sz val="10.0"/>
      </rPr>
      <t xml:space="preserve">https://nl.wikipedia.org/wiki/Gewone_zeester
</t>
    </r>
    <r>
      <rPr>
        <rFont val="Arial"/>
        <sz val="10.0"/>
      </rPr>
      <t xml:space="preserve">gewicht zeester met vergelijkbare lengte is 80 gram </t>
    </r>
    <r>
      <rPr>
        <rFont val="Arial"/>
        <color rgb="FF0000FF"/>
        <sz val="10.0"/>
      </rPr>
      <t>https://en.wikipedia.org/wiki/Starfish#Lifespan</t>
    </r>
    <r>
      <rPr>
        <rFont val="Arial"/>
        <sz val="10.0"/>
      </rPr>
      <t xml:space="preserve"> </t>
    </r>
  </si>
  <si>
    <t>Voor bijvangst van visserijen baseren we ons op data van de Stichting De Noordzee. Deze stichting heeft specifieke getallen voor schol en tong en algemene data voor overige vissen. Een nadeel van deze data is dat het alleen over commercieel interessante vissoorten gaat. We nemen aan dat alle vis die geen schol of tong is in deze overige categorie hoort. Dit hoeft niet het geval te zijn als sommige vissen niet in de Noordzee gevangen worden.</t>
  </si>
  <si>
    <t>aanvoer (ton)</t>
  </si>
  <si>
    <t>discards (ton)</t>
  </si>
  <si>
    <t>discards met correctie voor grootte</t>
  </si>
  <si>
    <t>discards per aanvoer</t>
  </si>
  <si>
    <t>aantal vissen gegeten pppj</t>
  </si>
  <si>
    <t>discards pppj voor directe consumptie</t>
  </si>
  <si>
    <t>Aandeel sterfte van discards</t>
  </si>
  <si>
    <t>Aantal dieren dat sterft als discards pppj voor directe consumptie</t>
  </si>
  <si>
    <t>schol</t>
  </si>
  <si>
    <t>tong</t>
  </si>
  <si>
    <t>overig</t>
  </si>
  <si>
    <t>Er is geen informatie beschikbaar over bijvangst of discards bij de dieren die voor diervoer gebruikt worden. Als we aannemen dat de bijvangst per dier evenveel is als bij dat voor dieren die voor menselijke consumptie worden gebruikt is dit aantal bijzonder hoog. We nemen deze groep niet mee in onze eindcijfers.</t>
  </si>
  <si>
    <t>bijvangst bij vismeel/visolie pppj</t>
  </si>
  <si>
    <r>
      <rPr>
        <rFont val="Arial"/>
        <sz val="10.0"/>
      </rPr>
      <t xml:space="preserve">Data Stichting de Noordzee over bijvangst </t>
    </r>
    <r>
      <rPr>
        <rFont val="Arial"/>
        <color rgb="FF0000FF"/>
        <sz val="10.0"/>
      </rPr>
      <t>https://www.noordzee.nl/rectificatie-nieuwe-infographic-voedselverspilling-op-de-noordzee/</t>
    </r>
    <r>
      <rPr>
        <rFont val="Arial"/>
        <sz val="10.0"/>
      </rPr>
      <t xml:space="preserve"> 
Meer informatie over bijvangst en discards
</t>
    </r>
    <r>
      <rPr>
        <rFont val="Arial"/>
        <color rgb="FF0000FF"/>
        <sz val="10.0"/>
      </rPr>
      <t>http://www.volkskrant.nl/archief/bijvangst-pas-in-2019-aan-banden~a3401223/</t>
    </r>
    <r>
      <rPr>
        <rFont val="Arial"/>
        <sz val="10.0"/>
      </rPr>
      <t xml:space="preserve"> 
</t>
    </r>
    <r>
      <rPr>
        <rFont val="Arial"/>
        <color rgb="FF0000FF"/>
        <sz val="10.0"/>
      </rPr>
      <t>http://edepot.wur.nl/333079</t>
    </r>
    <r>
      <rPr>
        <rFont val="Arial"/>
        <sz val="10.0"/>
      </rPr>
      <t xml:space="preserve"> 
</t>
    </r>
    <r>
      <rPr>
        <rFont val="Arial"/>
        <color rgb="FF0000FF"/>
        <sz val="10.0"/>
      </rPr>
      <t>http://www.wur.nl/nl/Dossiers/dossier/Discards-Ongewenste-bijvangst.htm</t>
    </r>
    <r>
      <rPr>
        <rFont val="Arial"/>
        <sz val="10.0"/>
      </rPr>
      <t xml:space="preserve"> 
</t>
    </r>
    <r>
      <rPr>
        <rFont val="Arial"/>
        <color rgb="FF0000FF"/>
        <sz val="10.0"/>
      </rPr>
      <t>https://nl.wikipedia.org/wiki/Bijvangst</t>
    </r>
    <r>
      <rPr>
        <rFont val="Arial"/>
        <sz val="10.0"/>
      </rPr>
      <t xml:space="preserve"> 
</t>
    </r>
    <r>
      <rPr>
        <rFont val="Arial"/>
        <color rgb="FF0000FF"/>
        <sz val="10.0"/>
      </rPr>
      <t>https://www.noordzee.nl/verbod-op-teruggooien-bijvangst-op-zee/</t>
    </r>
    <r>
      <rPr>
        <rFont val="Arial"/>
        <sz val="10.0"/>
      </rPr>
      <t xml:space="preserve"> 
</t>
    </r>
    <r>
      <rPr>
        <rFont val="Arial"/>
        <color rgb="FF0000FF"/>
        <sz val="10.0"/>
      </rPr>
      <t>http://www.bijvangstwijzer.nl/</t>
    </r>
    <r>
      <rPr>
        <rFont val="Arial"/>
        <sz val="10.0"/>
      </rPr>
      <t xml:space="preserve"> </t>
    </r>
  </si>
  <si>
    <t>Conclusie gevangen zeedieren</t>
  </si>
  <si>
    <t>vissen voor directe consumptie</t>
  </si>
  <si>
    <t>garnalen en schelpdieren voor directe consumptie</t>
  </si>
  <si>
    <t>vissen gedood voor vee- of visvoer</t>
  </si>
  <si>
    <t>garnalen en schelpdieren gedood voor vee- of visvoer</t>
  </si>
  <si>
    <t>vissen gedood als bijvangst voor directe consumptie</t>
  </si>
  <si>
    <t>garnalen en schelpdieren gedood als bijvangst voor directe consumptie</t>
  </si>
  <si>
    <t>totaal garnalen en schelpdieren</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</si>
</sst>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0"/>
    <numFmt numFmtId="165" formatCode="0.000"/>
    <numFmt numFmtId="166" formatCode="0.00000"/>
    <numFmt numFmtId="167" formatCode="0.00000000"/>
    <numFmt numFmtId="168" formatCode="#,###.000000000000000000"/>
    <numFmt numFmtId="169" formatCode="#,##0.000"/>
  </numFmts>
  <fonts count="13">
    <font>
      <sz val="10.0"/>
      <color rgb="FF000000"/>
      <name val="Arial"/>
    </font>
    <font>
      <sz val="10.0"/>
      <name val="Arial"/>
    </font>
    <font/>
    <font>
      <sz val="10.0"/>
      <name val="Times New Roman"/>
    </font>
    <font>
      <u/>
      <color rgb="FF0000FF"/>
    </font>
    <font>
      <i/>
      <sz val="10.0"/>
      <name val="Arial"/>
    </font>
    <font>
      <b/>
      <sz val="10.0"/>
      <name val="Arial"/>
    </font>
    <font>
      <sz val="10.0"/>
      <color rgb="FFFF0000"/>
      <name val="Arial"/>
    </font>
    <font>
      <i/>
      <sz val="10.0"/>
      <color rgb="FFFF0000"/>
      <name val="Arial"/>
    </font>
    <font>
      <u/>
      <color rgb="FF000000"/>
      <name val="Arial"/>
    </font>
    <font>
      <u/>
      <color rgb="FF0000FF"/>
    </font>
    <font>
      <color rgb="FF000000"/>
      <name val="Roboto"/>
    </font>
    <font>
      <color rgb="FF484747"/>
      <name val="Arial"/>
    </font>
  </fonts>
  <fills count="6">
    <fill>
      <patternFill patternType="none"/>
    </fill>
    <fill>
      <patternFill patternType="lightGray"/>
    </fill>
    <fill>
      <patternFill patternType="solid">
        <fgColor rgb="FF99FF99"/>
        <bgColor rgb="FF99FF99"/>
      </patternFill>
    </fill>
    <fill>
      <patternFill patternType="solid">
        <fgColor rgb="FF00CCFF"/>
        <bgColor rgb="FF00CCFF"/>
      </patternFill>
    </fill>
    <fill>
      <patternFill patternType="solid">
        <fgColor rgb="FFFF9999"/>
        <bgColor rgb="FFFF9999"/>
      </patternFill>
    </fill>
    <fill>
      <patternFill patternType="solid">
        <fgColor rgb="FFFFFFFF"/>
        <bgColor rgb="FFFFFFFF"/>
      </patternFill>
    </fill>
  </fills>
  <borders count="13">
    <border/>
    <border>
      <left/>
      <top/>
      <bottom/>
    </border>
    <border>
      <top/>
      <bottom/>
    </border>
    <border>
      <right/>
      <top/>
      <bottom/>
    </border>
    <border>
      <left/>
      <right/>
      <top/>
      <bottom/>
    </border>
    <border>
      <left/>
      <top/>
    </border>
    <border>
      <top/>
    </border>
    <border>
      <right/>
      <top/>
    </border>
    <border>
      <left/>
    </border>
    <border>
      <right/>
    </border>
    <border>
      <left/>
      <bottom/>
    </border>
    <border>
      <bottom/>
    </border>
    <border>
      <right/>
      <bottom/>
    </border>
  </borders>
  <cellStyleXfs count="1">
    <xf borderId="0" fillId="0" fontId="0" numFmtId="0" applyAlignment="1" applyFont="1"/>
  </cellStyleXfs>
  <cellXfs count="88">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2" fillId="0" fontId="2" numFmtId="0" xfId="0" applyBorder="1" applyFont="1"/>
    <xf borderId="3" fillId="0" fontId="2" numFmtId="0" xfId="0" applyBorder="1" applyFont="1"/>
    <xf borderId="0" fillId="0" fontId="1" numFmtId="0" xfId="0" applyAlignment="1" applyFont="1">
      <alignment horizontal="left" shrinkToFit="0" vertical="center" wrapText="1"/>
    </xf>
    <xf borderId="0" fillId="0" fontId="1" numFmtId="1" xfId="0" applyAlignment="1" applyFont="1" applyNumberFormat="1">
      <alignment horizontal="center" shrinkToFit="0" vertical="center" wrapText="0"/>
    </xf>
    <xf borderId="0" fillId="0" fontId="1" numFmtId="1" xfId="0" applyAlignment="1" applyFont="1" applyNumberFormat="1">
      <alignment shrinkToFit="0" vertical="bottom" wrapText="0"/>
    </xf>
    <xf borderId="0" fillId="0" fontId="1" numFmtId="0" xfId="0" applyAlignment="1" applyFont="1">
      <alignment shrinkToFit="0" vertical="bottom" wrapText="0"/>
    </xf>
    <xf borderId="0" fillId="0" fontId="1" numFmtId="0" xfId="0" applyAlignment="1" applyFont="1">
      <alignment shrinkToFit="0" vertical="bottom" wrapText="1"/>
    </xf>
    <xf borderId="0" fillId="0" fontId="1" numFmtId="0" xfId="0" applyAlignment="1" applyFont="1">
      <alignment shrinkToFit="0" vertical="center" wrapText="0"/>
    </xf>
    <xf borderId="0" fillId="0" fontId="3" numFmtId="0" xfId="0" applyAlignment="1" applyFont="1">
      <alignment shrinkToFit="0" vertical="bottom" wrapText="1"/>
    </xf>
    <xf borderId="0" fillId="0" fontId="1" numFmtId="0" xfId="0" applyAlignment="1" applyFont="1">
      <alignment horizontal="left" shrinkToFit="0" vertical="center" wrapText="0"/>
    </xf>
    <xf borderId="0" fillId="0" fontId="1" numFmtId="0" xfId="0" applyAlignment="1" applyFont="1">
      <alignment horizontal="center" shrinkToFit="0" vertical="center" wrapText="0"/>
    </xf>
    <xf borderId="0" fillId="0" fontId="1" numFmtId="164" xfId="0" applyAlignment="1" applyFont="1" applyNumberFormat="1">
      <alignment shrinkToFit="0" vertical="bottom" wrapText="0"/>
    </xf>
    <xf borderId="0" fillId="0" fontId="4" numFmtId="0" xfId="0" applyFont="1"/>
    <xf borderId="0" fillId="0" fontId="5" numFmtId="0" xfId="0" applyAlignment="1" applyFont="1">
      <alignment horizontal="center" shrinkToFit="0" vertical="center" wrapText="0"/>
    </xf>
    <xf borderId="0" fillId="0" fontId="1" numFmtId="2" xfId="0" applyAlignment="1" applyFont="1" applyNumberFormat="1">
      <alignment horizontal="center" shrinkToFit="0" vertical="center" wrapText="0"/>
    </xf>
    <xf borderId="0" fillId="0" fontId="1" numFmtId="2" xfId="0" applyAlignment="1" applyFont="1" applyNumberFormat="1">
      <alignment shrinkToFit="0" vertical="bottom" wrapText="0"/>
    </xf>
    <xf borderId="4" fillId="3" fontId="6" numFmtId="0" xfId="0" applyAlignment="1" applyBorder="1" applyFill="1" applyFont="1">
      <alignment shrinkToFit="0" vertical="center" wrapText="0"/>
    </xf>
    <xf borderId="4" fillId="3" fontId="1" numFmtId="0" xfId="0" applyAlignment="1" applyBorder="1" applyFont="1">
      <alignment horizontal="center" shrinkToFit="0" vertical="center" wrapText="0"/>
    </xf>
    <xf borderId="0" fillId="0" fontId="6" numFmtId="0" xfId="0" applyAlignment="1" applyFont="1">
      <alignment shrinkToFit="0" vertical="center" wrapText="0"/>
    </xf>
    <xf borderId="0" fillId="0" fontId="2" numFmtId="0" xfId="0" applyAlignment="1" applyFont="1">
      <alignment readingOrder="0"/>
    </xf>
    <xf borderId="0" fillId="0" fontId="1" numFmtId="0" xfId="0" applyAlignment="1" applyFont="1">
      <alignment horizontal="center" shrinkToFit="0" vertical="center" wrapText="1"/>
    </xf>
    <xf borderId="0" fillId="0" fontId="7" numFmtId="0" xfId="0" applyAlignment="1" applyFont="1">
      <alignment horizontal="center" shrinkToFit="0" vertical="center" wrapText="1"/>
    </xf>
    <xf borderId="0" fillId="0" fontId="1" numFmtId="165" xfId="0" applyAlignment="1" applyFont="1" applyNumberFormat="1">
      <alignment horizontal="center" shrinkToFit="0" vertical="center" wrapText="0"/>
    </xf>
    <xf borderId="0" fillId="0" fontId="7" numFmtId="2" xfId="0" applyAlignment="1" applyFont="1" applyNumberFormat="1">
      <alignment horizontal="center" shrinkToFit="0" vertical="center" wrapText="0"/>
    </xf>
    <xf borderId="0" fillId="0" fontId="8" numFmtId="0" xfId="0" applyAlignment="1" applyFont="1">
      <alignment horizontal="center" shrinkToFit="0" vertical="center" wrapText="0"/>
    </xf>
    <xf borderId="0" fillId="0" fontId="1" numFmtId="165" xfId="0" applyAlignment="1" applyFont="1" applyNumberFormat="1">
      <alignment shrinkToFit="0" vertical="bottom" wrapText="0"/>
    </xf>
    <xf borderId="0" fillId="0" fontId="1" numFmtId="164" xfId="0" applyAlignment="1" applyFont="1" applyNumberFormat="1">
      <alignment horizontal="center" shrinkToFit="0" vertical="center" wrapText="0"/>
    </xf>
    <xf borderId="0" fillId="0" fontId="1" numFmtId="0" xfId="0" applyAlignment="1" applyFont="1">
      <alignment readingOrder="0" shrinkToFit="0" vertical="bottom" wrapText="1"/>
    </xf>
    <xf borderId="0" fillId="0" fontId="7" numFmtId="0" xfId="0" applyAlignment="1" applyFont="1">
      <alignment horizontal="center" shrinkToFit="0" vertical="center" wrapText="0"/>
    </xf>
    <xf borderId="4" fillId="4" fontId="1" numFmtId="0" xfId="0" applyAlignment="1" applyBorder="1" applyFill="1" applyFont="1">
      <alignment horizontal="left" shrinkToFit="0" vertical="bottom" wrapText="0"/>
    </xf>
    <xf borderId="0" fillId="0" fontId="1" numFmtId="0" xfId="0" applyAlignment="1" applyFont="1">
      <alignment horizontal="left" shrinkToFit="0" vertical="bottom" wrapText="0"/>
    </xf>
    <xf borderId="0" fillId="0" fontId="7" numFmtId="0" xfId="0" applyAlignment="1" applyFont="1">
      <alignment shrinkToFit="0" vertical="center" wrapText="0"/>
    </xf>
    <xf borderId="0" fillId="0" fontId="7" numFmtId="0" xfId="0" applyAlignment="1" applyFont="1">
      <alignment horizontal="center" shrinkToFit="0" vertical="top" wrapText="0"/>
    </xf>
    <xf borderId="0" fillId="0" fontId="7" numFmtId="165" xfId="0" applyAlignment="1" applyFont="1" applyNumberFormat="1">
      <alignment horizontal="center" shrinkToFit="0" vertical="center" wrapText="0"/>
    </xf>
    <xf borderId="4" fillId="2" fontId="1" numFmtId="0" xfId="0" applyAlignment="1" applyBorder="1" applyFont="1">
      <alignment shrinkToFit="0" vertical="bottom" wrapText="0"/>
    </xf>
    <xf borderId="4" fillId="2" fontId="1" numFmtId="0" xfId="0" applyAlignment="1" applyBorder="1" applyFont="1">
      <alignment shrinkToFit="0" vertical="bottom" wrapText="1"/>
    </xf>
    <xf borderId="0" fillId="0" fontId="1" numFmtId="2" xfId="0" applyAlignment="1" applyFont="1" applyNumberFormat="1">
      <alignment shrinkToFit="0" vertical="bottom" wrapText="1"/>
    </xf>
    <xf borderId="1" fillId="2" fontId="1" numFmtId="0" xfId="0" applyAlignment="1" applyBorder="1" applyFont="1">
      <alignment horizontal="left" shrinkToFit="0" vertical="center" wrapText="0"/>
    </xf>
    <xf borderId="0" fillId="0" fontId="1" numFmtId="1" xfId="0" applyAlignment="1" applyFont="1" applyNumberFormat="1">
      <alignment shrinkToFit="0" vertical="bottom" wrapText="1"/>
    </xf>
    <xf borderId="1" fillId="2" fontId="1" numFmtId="0" xfId="0" applyAlignment="1" applyBorder="1" applyFont="1">
      <alignment horizontal="left" readingOrder="0" shrinkToFit="0" vertical="center" wrapText="0"/>
    </xf>
    <xf borderId="0" fillId="0" fontId="1" numFmtId="166" xfId="0" applyAlignment="1" applyFont="1" applyNumberFormat="1">
      <alignment shrinkToFit="0" vertical="bottom" wrapText="0"/>
    </xf>
    <xf borderId="4" fillId="2" fontId="1" numFmtId="2" xfId="0" applyAlignment="1" applyBorder="1" applyFont="1" applyNumberFormat="1">
      <alignment shrinkToFit="0" vertical="bottom" wrapText="0"/>
    </xf>
    <xf borderId="4" fillId="2" fontId="1" numFmtId="0" xfId="0" applyAlignment="1" applyBorder="1" applyFont="1">
      <alignment readingOrder="0" shrinkToFit="0" vertical="bottom" wrapText="0"/>
    </xf>
    <xf borderId="0" fillId="0" fontId="6" numFmtId="0" xfId="0" applyAlignment="1" applyFont="1">
      <alignment readingOrder="0" shrinkToFit="0" vertical="bottom" wrapText="0"/>
    </xf>
    <xf borderId="0" fillId="0" fontId="1" numFmtId="0" xfId="0" applyAlignment="1" applyFont="1">
      <alignment readingOrder="0" shrinkToFit="0" vertical="bottom" wrapText="0"/>
    </xf>
    <xf borderId="0" fillId="0" fontId="1" numFmtId="2" xfId="0" applyAlignment="1" applyFont="1" applyNumberFormat="1">
      <alignment readingOrder="0" shrinkToFit="0" vertical="bottom" wrapText="0"/>
    </xf>
    <xf borderId="0" fillId="5" fontId="9" numFmtId="0" xfId="0" applyAlignment="1" applyFill="1" applyFont="1">
      <alignment horizontal="left" readingOrder="0"/>
    </xf>
    <xf borderId="0" fillId="0" fontId="10" numFmtId="0" xfId="0" applyAlignment="1" applyFont="1">
      <alignment readingOrder="0"/>
    </xf>
    <xf borderId="0" fillId="5" fontId="11" numFmtId="0" xfId="0" applyAlignment="1" applyFont="1">
      <alignment readingOrder="0"/>
    </xf>
    <xf borderId="0" fillId="5" fontId="12" numFmtId="0" xfId="0" applyAlignment="1" applyFont="1">
      <alignment readingOrder="0"/>
    </xf>
    <xf borderId="0" fillId="5" fontId="12" numFmtId="0" xfId="0" applyAlignment="1" applyFont="1">
      <alignment readingOrder="0"/>
    </xf>
    <xf borderId="0" fillId="0" fontId="7" numFmtId="0" xfId="0" applyAlignment="1" applyFont="1">
      <alignment horizontal="left" shrinkToFit="0" vertical="center" wrapText="0"/>
    </xf>
    <xf borderId="0" fillId="0" fontId="0" numFmtId="0" xfId="0" applyAlignment="1" applyFont="1">
      <alignment shrinkToFit="0" vertical="center" wrapText="0"/>
    </xf>
    <xf borderId="0" fillId="0" fontId="0" numFmtId="0" xfId="0" applyAlignment="1" applyFont="1">
      <alignment horizontal="center" shrinkToFit="0" vertical="center" wrapText="0"/>
    </xf>
    <xf borderId="0" fillId="0" fontId="1" numFmtId="167" xfId="0" applyAlignment="1" applyFont="1" applyNumberFormat="1">
      <alignment horizontal="center" shrinkToFit="0" vertical="center" wrapText="0"/>
    </xf>
    <xf borderId="0" fillId="0" fontId="1" numFmtId="0" xfId="0" applyAlignment="1" applyFont="1">
      <alignment shrinkToFit="0" vertical="top" wrapText="0"/>
    </xf>
    <xf borderId="0" fillId="0" fontId="1" numFmtId="164" xfId="0" applyAlignment="1" applyFont="1" applyNumberFormat="1">
      <alignment shrinkToFit="0" vertical="center" wrapText="0"/>
    </xf>
    <xf borderId="5" fillId="2" fontId="1" numFmtId="0" xfId="0" applyAlignment="1" applyBorder="1" applyFont="1">
      <alignment horizontal="left"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0" fillId="0" fontId="1" numFmtId="2" xfId="0" applyAlignment="1" applyFont="1" applyNumberFormat="1">
      <alignment horizontal="left" shrinkToFit="0" vertical="center" wrapText="0"/>
    </xf>
    <xf borderId="0" fillId="0" fontId="1" numFmtId="168" xfId="0" applyAlignment="1" applyFont="1" applyNumberFormat="1">
      <alignment shrinkToFit="0" vertical="bottom" wrapText="0"/>
    </xf>
    <xf borderId="0" fillId="0" fontId="1" numFmtId="2" xfId="0" applyAlignment="1" applyFont="1" applyNumberFormat="1">
      <alignment shrinkToFit="0" vertical="center" wrapText="0"/>
    </xf>
    <xf borderId="0" fillId="0" fontId="0" numFmtId="2" xfId="0" applyAlignment="1" applyFont="1" applyNumberFormat="1">
      <alignment shrinkToFit="0" vertical="center" wrapText="0"/>
    </xf>
    <xf borderId="0" fillId="0" fontId="1" numFmtId="0" xfId="0" applyAlignment="1" applyFont="1">
      <alignment horizontal="left" shrinkToFit="0" vertical="top" wrapText="0"/>
    </xf>
    <xf borderId="1" fillId="4" fontId="1" numFmtId="0" xfId="0" applyAlignment="1" applyBorder="1" applyFont="1">
      <alignment horizontal="left" shrinkToFit="0" vertical="center" wrapText="1"/>
    </xf>
    <xf borderId="1" fillId="4" fontId="1" numFmtId="0" xfId="0" applyAlignment="1" applyBorder="1" applyFont="1">
      <alignment horizontal="center" shrinkToFit="0" vertical="center" wrapText="0"/>
    </xf>
    <xf borderId="0" fillId="0" fontId="1" numFmtId="0" xfId="0" applyAlignment="1" applyFont="1">
      <alignment horizontal="left" shrinkToFit="0" vertical="top" wrapText="1"/>
    </xf>
    <xf borderId="1" fillId="4" fontId="1" numFmtId="0" xfId="0" applyAlignment="1" applyBorder="1" applyFont="1">
      <alignment horizontal="left" shrinkToFit="0" vertical="center" wrapText="0"/>
    </xf>
    <xf borderId="4" fillId="4" fontId="1" numFmtId="0" xfId="0" applyAlignment="1" applyBorder="1" applyFont="1">
      <alignment horizontal="left" shrinkToFit="0" vertical="center" wrapText="0"/>
    </xf>
    <xf borderId="4" fillId="4" fontId="1" numFmtId="0" xfId="0" applyAlignment="1" applyBorder="1" applyFont="1">
      <alignment horizontal="left" shrinkToFit="0" vertical="top" wrapText="0"/>
    </xf>
    <xf borderId="1" fillId="4" fontId="1" numFmtId="0" xfId="0" applyAlignment="1" applyBorder="1" applyFont="1">
      <alignment shrinkToFit="0" vertical="center" wrapText="0"/>
    </xf>
    <xf borderId="4" fillId="4" fontId="1" numFmtId="0" xfId="0" applyAlignment="1" applyBorder="1" applyFont="1">
      <alignment shrinkToFit="0" vertical="center" wrapText="0"/>
    </xf>
    <xf borderId="4" fillId="4" fontId="1" numFmtId="0" xfId="0" applyAlignment="1" applyBorder="1" applyFont="1">
      <alignment horizontal="center" shrinkToFit="0" vertical="center" wrapText="0"/>
    </xf>
    <xf borderId="1" fillId="4" fontId="1" numFmtId="0" xfId="0" applyAlignment="1" applyBorder="1" applyFont="1">
      <alignment shrinkToFit="0" vertical="top" wrapText="0"/>
    </xf>
    <xf borderId="4" fillId="4" fontId="1" numFmtId="0" xfId="0" applyAlignment="1" applyBorder="1" applyFont="1">
      <alignment horizontal="left" shrinkToFit="0" vertical="top" wrapText="1"/>
    </xf>
    <xf borderId="4" fillId="4" fontId="1" numFmtId="0" xfId="0" applyAlignment="1" applyBorder="1" applyFont="1">
      <alignment shrinkToFit="0" vertical="bottom" wrapText="0"/>
    </xf>
    <xf borderId="4" fillId="4" fontId="1" numFmtId="0" xfId="0" applyAlignment="1" applyBorder="1" applyFont="1">
      <alignment horizontal="left" shrinkToFit="0" vertical="center" wrapText="1"/>
    </xf>
    <xf borderId="0" fillId="0" fontId="1" numFmtId="0" xfId="0" applyAlignment="1" applyFont="1">
      <alignment shrinkToFit="0" vertical="center" wrapText="1"/>
    </xf>
    <xf borderId="0" fillId="0" fontId="1" numFmtId="0" xfId="0" applyAlignment="1" applyFont="1">
      <alignment horizontal="left" shrinkToFit="0" vertical="bottom" wrapText="1"/>
    </xf>
    <xf borderId="0" fillId="0" fontId="1" numFmtId="169" xfId="0" applyAlignment="1" applyFont="1" applyNumberForma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tatline.cbs.nl/Statweb/publication/?DM=SLNL&amp;PA=37360NED&amp;D1=3&amp;D2=a&amp;D3=0&amp;D4=20-65,67-73&amp;HDR=G1,T&amp;STB=G2,G3&amp;VW=T"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edepot.wur.nl/212318" TargetMode="External"/><Relationship Id="rId2" Type="http://schemas.openxmlformats.org/officeDocument/2006/relationships/hyperlink" Target="https://www.wakkerdier.nl/uploads/media_items/2016-rapport-vleesconsumptie-2005-2015-def.original.pdf" TargetMode="External"/><Relationship Id="rId3" Type="http://schemas.openxmlformats.org/officeDocument/2006/relationships/hyperlink" Target="http://www.countinganimals.com/the-forgotten-mothers-of-chickens-we-ea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 Type="http://schemas.openxmlformats.org/officeDocument/2006/relationships/hyperlink" Target="http://www.animalethics.org.uk/110125m-chickens.jpg" TargetMode="External"/><Relationship Id="rId10" Type="http://schemas.openxmlformats.org/officeDocument/2006/relationships/hyperlink" Target="https://web.archive.org/web/20090510004211/http://www.aquaculture.ca/files/species-atlantic-cod.php" TargetMode="External"/><Relationship Id="rId13" Type="http://schemas.openxmlformats.org/officeDocument/2006/relationships/drawing" Target="../drawings/drawing3.xml"/><Relationship Id="rId12" Type="http://schemas.openxmlformats.org/officeDocument/2006/relationships/hyperlink" Target="http://www.animalethics.org.uk/i-ch7-3-pigs.html" TargetMode="External"/><Relationship Id="rId1" Type="http://schemas.openxmlformats.org/officeDocument/2006/relationships/hyperlink" Target="http://www.fao.org/3/478cfa2b-90f0-4902-a836-94a5dddd6730/i3740t.pdf" TargetMode="External"/><Relationship Id="rId2" Type="http://schemas.openxmlformats.org/officeDocument/2006/relationships/hyperlink" Target="https://en.wikipedia.org/wiki/Aquaculture_of_salmonids" TargetMode="External"/><Relationship Id="rId3" Type="http://schemas.openxmlformats.org/officeDocument/2006/relationships/hyperlink" Target="http://www.thefishsite.com/articles/1460/cultured-aquatic-species-atlantic-cod/" TargetMode="External"/><Relationship Id="rId4" Type="http://schemas.openxmlformats.org/officeDocument/2006/relationships/hyperlink" Target="https://en.wikipedia.org/wiki/Aquaculture_of_salmonids" TargetMode="External"/><Relationship Id="rId9" Type="http://schemas.openxmlformats.org/officeDocument/2006/relationships/hyperlink" Target="http://www.countinganimals.com/the-fish-we-kill-to-feed-the-fish-we-eat/" TargetMode="External"/><Relationship Id="rId5" Type="http://schemas.openxmlformats.org/officeDocument/2006/relationships/hyperlink" Target="https://www.ah.nl/" TargetMode="External"/><Relationship Id="rId6" Type="http://schemas.openxmlformats.org/officeDocument/2006/relationships/hyperlink" Target="http://kb.rspca.org.au/How-are-farmed-Atlantic-salmon-bred_661.html" TargetMode="External"/><Relationship Id="rId7" Type="http://schemas.openxmlformats.org/officeDocument/2006/relationships/hyperlink" Target="http://www.nmfs.noaa.gov/mb/sk/pdf/Report_18.pdf" TargetMode="External"/><Relationship Id="rId8" Type="http://schemas.openxmlformats.org/officeDocument/2006/relationships/hyperlink" Target="http://www.thefishsite.com/articles/907/cultured-aquaculture-species-rainbow-trou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nl.wikipedia.org/wiki/Ei_(voeding)" TargetMode="External"/><Relationship Id="rId2" Type="http://schemas.openxmlformats.org/officeDocument/2006/relationships/hyperlink" Target="http://www.vrg.org/blog/2010/11/30/q-a-on-shellac" TargetMode="External"/><Relationship Id="rId3" Type="http://schemas.openxmlformats.org/officeDocument/2006/relationships/hyperlink" Target="https://www.quora.com/How-many-bees-and-how-much-time-is-needed-for-1-kg-honey" TargetMode="External"/><Relationship Id="rId4" Type="http://schemas.openxmlformats.org/officeDocument/2006/relationships/hyperlink" Target="https://www.livinfarms.com/blog-1/2018/7/24/mealworm-vs-buffalo-worm-what-is-the-difference" TargetMode="External"/><Relationship Id="rId5"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86"/>
    <col customWidth="1" min="2" max="2" width="21.0"/>
    <col customWidth="1" min="3" max="3" width="12.57"/>
    <col customWidth="1" min="4" max="4" width="17.14"/>
    <col customWidth="1" min="5" max="13" width="10.86"/>
    <col customWidth="1" min="14" max="26" width="8.71"/>
  </cols>
  <sheetData>
    <row r="1" ht="168.0" customHeight="1">
      <c r="A1" s="1" t="s">
        <v>1</v>
      </c>
      <c r="B1" s="2"/>
      <c r="C1" s="2"/>
      <c r="D1" s="2"/>
      <c r="E1" s="2"/>
      <c r="F1" s="2"/>
      <c r="G1" s="2"/>
      <c r="H1" s="2"/>
      <c r="I1" s="3"/>
    </row>
    <row r="2" ht="40.5" customHeight="1">
      <c r="A2" s="4"/>
      <c r="B2" s="6"/>
      <c r="C2" s="6"/>
    </row>
    <row r="3" ht="38.25" customHeight="1">
      <c r="A3" s="1" t="s">
        <v>4</v>
      </c>
      <c r="B3" s="2"/>
      <c r="C3" s="2"/>
      <c r="D3" s="2"/>
      <c r="E3" s="2"/>
      <c r="F3" s="2"/>
      <c r="G3" s="2"/>
      <c r="H3" s="2"/>
      <c r="I3" s="3"/>
    </row>
    <row r="4" ht="40.5" customHeight="1"/>
    <row r="5" ht="40.5" customHeight="1">
      <c r="A5" s="8" t="s">
        <v>5</v>
      </c>
      <c r="B5" s="10">
        <v>77.57</v>
      </c>
    </row>
    <row r="6" ht="40.5" customHeight="1"/>
    <row r="7" ht="40.5" customHeight="1">
      <c r="A7" s="14" t="s">
        <v>10</v>
      </c>
      <c r="J7" s="7"/>
    </row>
    <row r="8" ht="40.5" customHeight="1">
      <c r="A8" s="8"/>
      <c r="B8" s="8"/>
    </row>
    <row r="9" ht="40.5" customHeight="1">
      <c r="A9" s="8"/>
      <c r="B9" s="8" t="s">
        <v>16</v>
      </c>
      <c r="C9" t="s">
        <v>17</v>
      </c>
      <c r="D9" t="s">
        <v>18</v>
      </c>
      <c r="F9" s="8" t="s">
        <v>19</v>
      </c>
      <c r="G9" s="8" t="s">
        <v>20</v>
      </c>
      <c r="H9" s="8" t="s">
        <v>21</v>
      </c>
      <c r="I9" s="8" t="s">
        <v>22</v>
      </c>
    </row>
    <row r="10" ht="40.5" customHeight="1">
      <c r="A10" s="8" t="s">
        <v>23</v>
      </c>
      <c r="B10" s="8" t="s">
        <v>24</v>
      </c>
      <c r="C10" s="17">
        <f>'Aantal landdieren gedood'!E31</f>
        <v>0.4132554608</v>
      </c>
      <c r="D10" s="17">
        <f>Overzicht!C10*Overzicht!$B$5</f>
        <v>32.05622609</v>
      </c>
      <c r="E10" s="17"/>
      <c r="F10" s="17">
        <v>6.0</v>
      </c>
      <c r="G10" s="17">
        <f>Overzicht!C10*Overzicht!F10</f>
        <v>2.479532765</v>
      </c>
      <c r="H10" s="17">
        <f>Overzicht!D10*Overzicht!F10</f>
        <v>192.3373565</v>
      </c>
      <c r="I10" s="17">
        <f>Overzicht!H10/12</f>
        <v>16.02811305</v>
      </c>
    </row>
    <row r="11" ht="40.5" customHeight="1">
      <c r="A11" s="8"/>
      <c r="B11" s="8"/>
      <c r="C11" s="17"/>
      <c r="D11" s="17"/>
      <c r="E11" s="17"/>
      <c r="F11" s="17"/>
      <c r="G11" s="17"/>
      <c r="H11" s="17"/>
      <c r="I11" s="17"/>
    </row>
    <row r="12" ht="40.5" customHeight="1">
      <c r="A12" s="8"/>
      <c r="B12" s="8" t="s">
        <v>33</v>
      </c>
      <c r="C12" s="17">
        <f>'Aantal landdieren gedood'!E32</f>
        <v>15.42915661</v>
      </c>
      <c r="D12" s="17">
        <f>Overzicht!C12*Overzicht!$B$5</f>
        <v>1196.839678</v>
      </c>
      <c r="E12" s="17"/>
      <c r="F12" s="17"/>
      <c r="G12" s="17"/>
      <c r="H12" s="17"/>
      <c r="I12" s="17"/>
    </row>
    <row r="13" ht="40.5" customHeight="1">
      <c r="A13" s="8"/>
      <c r="B13" s="8" t="s">
        <v>38</v>
      </c>
      <c r="C13" s="17">
        <f>Overzicht!C12-Overzicht!C14-Overzicht!C15-Overzicht!C16</f>
        <v>14.67644583</v>
      </c>
      <c r="D13" s="17">
        <f>Overzicht!C13*Overzicht!$B$5</f>
        <v>1138.451903</v>
      </c>
      <c r="E13" s="17"/>
      <c r="F13" s="17">
        <v>1.5</v>
      </c>
      <c r="G13" s="17">
        <f>Overzicht!C13*Overzicht!F13</f>
        <v>22.01466874</v>
      </c>
      <c r="H13" s="17">
        <f>Overzicht!D13*Overzicht!F13</f>
        <v>1707.677854</v>
      </c>
      <c r="I13" s="17">
        <f>Overzicht!H13/12</f>
        <v>142.3064878</v>
      </c>
    </row>
    <row r="14" ht="40.5" customHeight="1">
      <c r="A14" s="8"/>
      <c r="B14" s="8" t="s">
        <v>61</v>
      </c>
      <c r="C14" s="17">
        <f>'Aantal landdieren gedood'!B92</f>
        <v>0.1564545463</v>
      </c>
      <c r="D14" s="17">
        <f>Overzicht!C14*Overzicht!$B$5</f>
        <v>12.13617916</v>
      </c>
      <c r="E14" s="17"/>
      <c r="F14" s="17">
        <f>Overzicht!F41</f>
        <v>17.95068493</v>
      </c>
      <c r="G14" s="17">
        <f>Overzicht!C14*Overzicht!F14</f>
        <v>2.808466267</v>
      </c>
      <c r="H14" s="17">
        <f>Overzicht!D14*Overzicht!F14</f>
        <v>217.8527283</v>
      </c>
      <c r="I14" s="17">
        <f>Overzicht!H14/12</f>
        <v>18.15439403</v>
      </c>
    </row>
    <row r="15" ht="40.5" customHeight="1">
      <c r="A15" s="8"/>
      <c r="B15" s="8" t="s">
        <v>70</v>
      </c>
      <c r="C15" s="17">
        <f>Overzicht!C39</f>
        <v>0.5899670453</v>
      </c>
      <c r="D15" s="17">
        <f>Overzicht!C15*Overzicht!$B$5</f>
        <v>45.7637437</v>
      </c>
      <c r="E15" s="17"/>
      <c r="F15" s="17">
        <f>Overzicht!F39</f>
        <v>17.95068493</v>
      </c>
      <c r="G15" s="17">
        <f>Overzicht!C15*Overzicht!F15</f>
        <v>10.59031255</v>
      </c>
      <c r="H15" s="17">
        <f>Overzicht!D15*Overzicht!F15</f>
        <v>821.4905445</v>
      </c>
      <c r="I15" s="17">
        <f>Overzicht!H15/12</f>
        <v>68.45754537</v>
      </c>
    </row>
    <row r="16" ht="40.5" customHeight="1">
      <c r="A16" s="8"/>
      <c r="B16" s="8" t="s">
        <v>76</v>
      </c>
      <c r="C16" s="17">
        <f>Overzicht!C41</f>
        <v>0.006289194774</v>
      </c>
      <c r="D16" s="17">
        <f>Overzicht!C16*Overzicht!$B$5</f>
        <v>0.4878528386</v>
      </c>
      <c r="E16" s="17"/>
      <c r="F16" s="17">
        <f>Overzicht!F41</f>
        <v>17.95068493</v>
      </c>
      <c r="G16" s="17">
        <f>Overzicht!C16*Overzicht!F16</f>
        <v>0.1128953539</v>
      </c>
      <c r="H16" s="17">
        <f>Overzicht!D16*Overzicht!F16</f>
        <v>8.757292599</v>
      </c>
      <c r="I16" s="17">
        <f>Overzicht!H16/12</f>
        <v>0.7297743833</v>
      </c>
    </row>
    <row r="17" ht="40.5" customHeight="1">
      <c r="A17" s="8"/>
      <c r="B17" s="8"/>
      <c r="C17" s="17"/>
      <c r="D17" s="17"/>
      <c r="E17" s="17"/>
      <c r="F17" s="17"/>
      <c r="G17" s="17"/>
      <c r="H17" s="17"/>
      <c r="I17" s="17"/>
    </row>
    <row r="18" ht="40.5" customHeight="1">
      <c r="A18" s="8"/>
      <c r="B18" s="8" t="s">
        <v>32</v>
      </c>
      <c r="C18" s="17">
        <f>'Aantal landdieren gedood'!E33</f>
        <v>0.04694833677</v>
      </c>
      <c r="D18" s="17">
        <f>Overzicht!C18*Overzicht!$B$5</f>
        <v>3.641782483</v>
      </c>
      <c r="E18" s="17"/>
      <c r="F18" s="17">
        <v>24.0</v>
      </c>
      <c r="G18" s="17">
        <f>Overzicht!C18*Overzicht!F18</f>
        <v>1.126760083</v>
      </c>
      <c r="H18" s="17">
        <f>Overzicht!D18*Overzicht!F18</f>
        <v>87.4027796</v>
      </c>
      <c r="I18" s="17">
        <f>Overzicht!H18/12</f>
        <v>7.283564967</v>
      </c>
    </row>
    <row r="19" ht="40.5" customHeight="1">
      <c r="A19" s="8"/>
      <c r="B19" s="8" t="s">
        <v>81</v>
      </c>
      <c r="C19" s="17">
        <f>Overzicht!C18-Overzicht!C20-Overzicht!C21</f>
        <v>0.03372130461</v>
      </c>
      <c r="D19" s="17">
        <f>Overzicht!C19*Overzicht!$B$5</f>
        <v>2.615761599</v>
      </c>
      <c r="E19" s="17"/>
      <c r="F19" s="17">
        <v>24.0</v>
      </c>
      <c r="G19" s="17">
        <f>Overzicht!C19*Overzicht!F19</f>
        <v>0.8093113108</v>
      </c>
      <c r="H19" s="17">
        <f>Overzicht!D19*Overzicht!F19</f>
        <v>62.77827837</v>
      </c>
      <c r="I19" s="17">
        <f>Overzicht!H19/12</f>
        <v>5.231523198</v>
      </c>
    </row>
    <row r="20" ht="40.5" customHeight="1">
      <c r="A20" s="8"/>
      <c r="B20" s="8" t="s">
        <v>89</v>
      </c>
      <c r="C20" s="17">
        <f>Overzicht!C33</f>
        <v>0.004344642349</v>
      </c>
      <c r="D20" s="17">
        <f>Overzicht!C20*Overzicht!$B$5</f>
        <v>0.337013907</v>
      </c>
      <c r="E20" s="17"/>
      <c r="F20" s="17">
        <f>Overzicht!F33</f>
        <v>70.8</v>
      </c>
      <c r="G20" s="17">
        <f>Overzicht!C20*Overzicht!F20</f>
        <v>0.3076006783</v>
      </c>
      <c r="H20" s="17">
        <f>Overzicht!D20*Overzicht!F20</f>
        <v>23.86058462</v>
      </c>
      <c r="I20" s="17">
        <f>Overzicht!H20/12</f>
        <v>1.988382051</v>
      </c>
    </row>
    <row r="21" ht="40.5" customHeight="1">
      <c r="A21" s="8"/>
      <c r="B21" s="8" t="s">
        <v>77</v>
      </c>
      <c r="C21" s="17">
        <f>'Aantal landdieren gedood'!E34</f>
        <v>0.008882389808</v>
      </c>
      <c r="D21" s="17">
        <f>Overzicht!C21*Overzicht!$B$5</f>
        <v>0.6890069774</v>
      </c>
      <c r="E21" s="17"/>
      <c r="F21" s="17">
        <f>Overzicht!F34</f>
        <v>7</v>
      </c>
      <c r="G21" s="17">
        <f>Overzicht!C21*Overzicht!F21</f>
        <v>0.06217672865</v>
      </c>
      <c r="H21" s="17">
        <f>Overzicht!D21*Overzicht!F21</f>
        <v>4.823048842</v>
      </c>
      <c r="I21" s="17">
        <f>Overzicht!H21/12</f>
        <v>0.4019207368</v>
      </c>
    </row>
    <row r="22" ht="40.5" customHeight="1">
      <c r="A22" s="8"/>
      <c r="B22" s="8"/>
      <c r="C22" s="17"/>
      <c r="D22" s="17"/>
      <c r="E22" s="17"/>
      <c r="F22" s="17"/>
      <c r="G22" s="17"/>
      <c r="H22" s="17"/>
      <c r="I22" s="17"/>
    </row>
    <row r="23" ht="40.5" customHeight="1">
      <c r="A23" s="8"/>
      <c r="B23" s="29" t="s">
        <v>78</v>
      </c>
      <c r="C23" s="17">
        <f>'Aantal landdieren gedood'!E35</f>
        <v>0.064863125</v>
      </c>
      <c r="D23" s="17">
        <f>Overzicht!C23*Overzicht!$B$5</f>
        <v>5.031432606</v>
      </c>
      <c r="E23" s="17"/>
      <c r="F23" s="17">
        <v>7.0</v>
      </c>
      <c r="G23" s="17">
        <f>Overzicht!C23*Overzicht!F23</f>
        <v>0.454041875</v>
      </c>
      <c r="H23" s="17">
        <f>Overzicht!D23*Overzicht!F23</f>
        <v>35.22002824</v>
      </c>
      <c r="I23" s="17">
        <f>Overzicht!H23/12</f>
        <v>2.935002353</v>
      </c>
    </row>
    <row r="24" ht="40.5" customHeight="1">
      <c r="A24" s="8"/>
      <c r="B24" s="8" t="s">
        <v>81</v>
      </c>
      <c r="C24" s="17">
        <f>Overzicht!C23-Overzicht!C25-Overzicht!C26</f>
        <v>0.05047042611</v>
      </c>
      <c r="D24" s="17">
        <f>Overzicht!C24*Overzicht!$B$5</f>
        <v>3.914990953</v>
      </c>
      <c r="E24" s="17"/>
      <c r="F24" s="17"/>
      <c r="G24" s="17"/>
      <c r="H24" s="17"/>
      <c r="I24" s="17"/>
    </row>
    <row r="25" ht="40.5" customHeight="1">
      <c r="A25" s="8"/>
      <c r="B25" s="8" t="s">
        <v>112</v>
      </c>
      <c r="C25" s="17">
        <f>Overzicht!C35</f>
        <v>0.0008778901751</v>
      </c>
      <c r="D25" s="17">
        <f>Overzicht!C25*Overzicht!$B$5</f>
        <v>0.06809794088</v>
      </c>
      <c r="E25" s="17"/>
      <c r="F25" s="17">
        <f>Overzicht!F35</f>
        <v>108</v>
      </c>
      <c r="G25" s="17">
        <f>Overzicht!C25*Overzicht!F25</f>
        <v>0.09481213891</v>
      </c>
      <c r="H25" s="17">
        <f>Overzicht!D25*Overzicht!F25</f>
        <v>7.354577615</v>
      </c>
      <c r="I25" s="17">
        <f>Overzicht!H25/12</f>
        <v>0.612881468</v>
      </c>
    </row>
    <row r="26" ht="40.5" customHeight="1">
      <c r="A26" s="8"/>
      <c r="B26" s="8" t="s">
        <v>120</v>
      </c>
      <c r="C26" s="17">
        <f>Overzicht!C36</f>
        <v>0.01351480871</v>
      </c>
      <c r="D26" s="17">
        <f>Overzicht!C26*Overzicht!$B$5</f>
        <v>1.048343712</v>
      </c>
      <c r="E26" s="17"/>
      <c r="F26" s="17">
        <f>Overzicht!F36</f>
        <v>2</v>
      </c>
      <c r="G26" s="17">
        <f>Overzicht!C26*Overzicht!F26</f>
        <v>0.02702961742</v>
      </c>
      <c r="H26" s="17">
        <f>Overzicht!D26*Overzicht!F26</f>
        <v>2.096687423</v>
      </c>
      <c r="I26" s="17">
        <f>Overzicht!H26/12</f>
        <v>0.174723952</v>
      </c>
    </row>
    <row r="27" ht="40.5" customHeight="1">
      <c r="A27" s="8"/>
      <c r="B27" s="8"/>
      <c r="C27" s="17"/>
      <c r="D27" s="17"/>
      <c r="E27" s="17"/>
      <c r="F27" s="17"/>
      <c r="G27" s="17"/>
      <c r="H27" s="17"/>
      <c r="I27" s="17"/>
    </row>
    <row r="28" ht="40.5" customHeight="1">
      <c r="A28" s="8" t="s">
        <v>126</v>
      </c>
      <c r="B28" s="8" t="s">
        <v>38</v>
      </c>
      <c r="C28" s="17">
        <f>Uitval!D4</f>
        <v>0.4507916776</v>
      </c>
      <c r="D28" s="17">
        <f>Overzicht!C28*Overzicht!$B$5</f>
        <v>34.96791043</v>
      </c>
      <c r="E28" s="17"/>
      <c r="F28" s="17">
        <f>Overzicht!F13/2</f>
        <v>0.75</v>
      </c>
      <c r="G28" s="17">
        <f>Overzicht!C28*Overzicht!F28</f>
        <v>0.3380937582</v>
      </c>
      <c r="H28" s="17">
        <f>Overzicht!D28*Overzicht!F28</f>
        <v>26.22593283</v>
      </c>
      <c r="I28" s="17">
        <f>Overzicht!H28/12</f>
        <v>2.185494402</v>
      </c>
    </row>
    <row r="29" ht="40.5" customHeight="1">
      <c r="A29" s="8"/>
      <c r="B29" s="8" t="s">
        <v>24</v>
      </c>
      <c r="C29" s="17">
        <f>Uitval!D11</f>
        <v>0.06066135204</v>
      </c>
      <c r="D29" s="17">
        <f>Overzicht!C29*Overzicht!$B$5</f>
        <v>4.705501078</v>
      </c>
      <c r="E29" s="17"/>
      <c r="F29" s="17">
        <f>Overzicht!F10/2</f>
        <v>3</v>
      </c>
      <c r="G29" s="17">
        <f>Overzicht!C29*Overzicht!F29</f>
        <v>0.1819840561</v>
      </c>
      <c r="H29" s="17">
        <f>Overzicht!D29*Overzicht!F29</f>
        <v>14.11650323</v>
      </c>
      <c r="I29" s="17">
        <f>Overzicht!H29/12</f>
        <v>1.176375269</v>
      </c>
    </row>
    <row r="30" ht="40.5" customHeight="1">
      <c r="A30" s="8"/>
      <c r="B30" s="8" t="s">
        <v>35</v>
      </c>
      <c r="C30" s="17">
        <f>Uitval!D12</f>
        <v>0.001327253649</v>
      </c>
      <c r="D30" s="17">
        <f>Overzicht!C30*Overzicht!$B$5</f>
        <v>0.1029550656</v>
      </c>
      <c r="E30" s="17"/>
      <c r="F30" s="17">
        <f>Overzicht!F21/2</f>
        <v>3.5</v>
      </c>
      <c r="G30" s="17">
        <f>Overzicht!C30*Overzicht!F30</f>
        <v>0.004645387773</v>
      </c>
      <c r="H30" s="17">
        <f>Overzicht!D30*Overzicht!F30</f>
        <v>0.3603427295</v>
      </c>
      <c r="I30" s="17">
        <f>Overzicht!H30/12</f>
        <v>0.0300285608</v>
      </c>
    </row>
    <row r="31" ht="40.5" customHeight="1">
      <c r="A31" s="8"/>
      <c r="B31" s="8"/>
      <c r="C31" s="17"/>
      <c r="D31" s="17"/>
      <c r="E31" s="17"/>
      <c r="F31" s="17"/>
      <c r="G31" s="17"/>
      <c r="H31" s="17"/>
      <c r="I31" s="17"/>
    </row>
    <row r="32" ht="40.5" customHeight="1">
      <c r="A32" s="8" t="s">
        <v>143</v>
      </c>
      <c r="B32" s="8"/>
      <c r="C32" s="17"/>
      <c r="D32" s="17"/>
      <c r="E32" s="17"/>
      <c r="F32" s="17"/>
      <c r="G32" s="17"/>
      <c r="H32" s="17"/>
      <c r="I32" s="17"/>
    </row>
    <row r="33" ht="40.5" customHeight="1">
      <c r="A33" s="8"/>
      <c r="B33" s="8" t="s">
        <v>89</v>
      </c>
      <c r="C33" s="17">
        <f>Overzicht!D33/Overzicht!$B$5</f>
        <v>0.004344642349</v>
      </c>
      <c r="D33" s="17">
        <f>'Aantal landdieren gedood'!B54</f>
        <v>0.337013907</v>
      </c>
      <c r="E33" s="17"/>
      <c r="F33" s="17">
        <f>5.9*12</f>
        <v>70.8</v>
      </c>
      <c r="G33" s="17">
        <f>Overzicht!C33*Overzicht!F33</f>
        <v>0.3076006783</v>
      </c>
      <c r="H33" s="17">
        <f>Overzicht!D33*Overzicht!F33</f>
        <v>23.86058462</v>
      </c>
      <c r="I33" s="17">
        <f>Overzicht!H33/12</f>
        <v>1.988382051</v>
      </c>
    </row>
    <row r="34" ht="40.5" customHeight="1">
      <c r="A34" s="8"/>
      <c r="B34" s="8" t="s">
        <v>35</v>
      </c>
      <c r="C34" s="17">
        <f>Overzicht!D34/Overzicht!$B$5</f>
        <v>0.009908775132</v>
      </c>
      <c r="D34" s="17">
        <f>'Aantal landdieren gedood'!B55</f>
        <v>0.768623687</v>
      </c>
      <c r="E34" s="17"/>
      <c r="F34" s="17">
        <f>7</f>
        <v>7</v>
      </c>
      <c r="G34" s="17">
        <f>Overzicht!C34*Overzicht!F34</f>
        <v>0.06936142592</v>
      </c>
      <c r="H34" s="17">
        <f>Overzicht!D34*Overzicht!F34</f>
        <v>5.380365809</v>
      </c>
      <c r="I34" s="17">
        <f>Overzicht!H34/12</f>
        <v>0.4483638174</v>
      </c>
    </row>
    <row r="35" ht="40.5" customHeight="1">
      <c r="A35" s="8"/>
      <c r="B35" s="8" t="s">
        <v>153</v>
      </c>
      <c r="C35" s="17">
        <f>Overzicht!D35/Overzicht!$B$5</f>
        <v>0.0008778901751</v>
      </c>
      <c r="D35" s="17">
        <f>'Aantal landdieren gedood'!C54</f>
        <v>0.06809794088</v>
      </c>
      <c r="E35" s="17"/>
      <c r="F35" s="17">
        <f>9*12</f>
        <v>108</v>
      </c>
      <c r="G35" s="17">
        <f>Overzicht!C35*Overzicht!F35</f>
        <v>0.09481213891</v>
      </c>
      <c r="H35" s="17">
        <f>Overzicht!D35*Overzicht!F35</f>
        <v>7.354577615</v>
      </c>
      <c r="I35" s="17">
        <f>Overzicht!H35/12</f>
        <v>0.612881468</v>
      </c>
    </row>
    <row r="36" ht="40.5" customHeight="1">
      <c r="A36" s="8"/>
      <c r="B36" s="8" t="s">
        <v>154</v>
      </c>
      <c r="C36" s="17">
        <f>Overzicht!D36/Overzicht!$B$5</f>
        <v>0.01351480871</v>
      </c>
      <c r="D36" s="17">
        <f>'Aantal landdieren gedood'!C55</f>
        <v>1.048343712</v>
      </c>
      <c r="E36" s="17"/>
      <c r="F36" s="17">
        <v>2.0</v>
      </c>
      <c r="G36" s="17">
        <f>Overzicht!C36*Overzicht!F36</f>
        <v>0.02702961742</v>
      </c>
      <c r="H36" s="17">
        <f>Overzicht!D36*Overzicht!F36</f>
        <v>2.096687423</v>
      </c>
      <c r="I36" s="17">
        <f>Overzicht!H36/12</f>
        <v>0.174723952</v>
      </c>
    </row>
    <row r="37" ht="40.5" customHeight="1">
      <c r="B37" s="8"/>
      <c r="C37" s="17"/>
      <c r="D37" s="17"/>
      <c r="E37" s="17"/>
      <c r="F37" s="17"/>
      <c r="G37" s="17"/>
      <c r="H37" s="17"/>
      <c r="I37" s="17"/>
    </row>
    <row r="38" ht="40.5" customHeight="1">
      <c r="A38" s="8" t="s">
        <v>155</v>
      </c>
      <c r="B38" s="8"/>
      <c r="C38" s="17"/>
      <c r="D38" s="17"/>
      <c r="E38" s="17"/>
      <c r="F38" s="17"/>
      <c r="G38" s="17"/>
      <c r="H38" s="17"/>
      <c r="I38" s="17"/>
    </row>
    <row r="39" ht="40.5" customHeight="1">
      <c r="A39" s="8"/>
      <c r="B39" s="8" t="s">
        <v>70</v>
      </c>
      <c r="C39" s="17">
        <f>'Aantal landdieren gedood'!B71</f>
        <v>0.5899670453</v>
      </c>
      <c r="D39" s="17">
        <f>Overzicht!C39*Overzicht!$B$5</f>
        <v>45.7637437</v>
      </c>
      <c r="E39" s="17"/>
      <c r="F39" s="17">
        <f>(78*7)/(365/12)</f>
        <v>17.95068493</v>
      </c>
      <c r="G39" s="17">
        <f>Overzicht!C39*Overzicht!F39</f>
        <v>10.59031255</v>
      </c>
      <c r="H39" s="17">
        <f>Overzicht!D39*Overzicht!F39</f>
        <v>821.4905445</v>
      </c>
      <c r="I39" s="17">
        <f>Overzicht!H39/12</f>
        <v>68.45754537</v>
      </c>
    </row>
    <row r="40" ht="40.5" customHeight="1">
      <c r="A40" s="8"/>
      <c r="B40" s="8" t="s">
        <v>156</v>
      </c>
      <c r="C40" s="17">
        <f>Overzicht!C39</f>
        <v>0.5899670453</v>
      </c>
      <c r="D40" s="17">
        <f>Overzicht!C40*Overzicht!$B$5</f>
        <v>45.7637437</v>
      </c>
      <c r="E40" s="17"/>
      <c r="F40" s="17">
        <f>1/30</f>
        <v>0.03333333333</v>
      </c>
      <c r="G40" s="17">
        <f>Overzicht!C40*Overzicht!F40</f>
        <v>0.01966556818</v>
      </c>
      <c r="H40" s="17">
        <f>Overzicht!D40*Overzicht!F40</f>
        <v>1.525458123</v>
      </c>
      <c r="I40" s="17">
        <f>Overzicht!H40/12</f>
        <v>0.1271215103</v>
      </c>
    </row>
    <row r="41" ht="40.5" customHeight="1">
      <c r="A41" s="8"/>
      <c r="B41" s="8" t="s">
        <v>139</v>
      </c>
      <c r="C41" s="17">
        <f>'Aantal landdieren gedood'!B84</f>
        <v>0.006289194774</v>
      </c>
      <c r="D41" s="17">
        <f>Overzicht!C41*Overzicht!$B$5</f>
        <v>0.4878528386</v>
      </c>
      <c r="E41" s="17"/>
      <c r="F41" s="17">
        <f>(78*7)/(365/12)</f>
        <v>17.95068493</v>
      </c>
      <c r="G41" s="17">
        <f>Overzicht!C41*Overzicht!F41</f>
        <v>0.1128953539</v>
      </c>
      <c r="H41" s="17">
        <f>Overzicht!D41*Overzicht!F41</f>
        <v>8.757292599</v>
      </c>
      <c r="I41" s="17">
        <f>Overzicht!H41/12</f>
        <v>0.7297743833</v>
      </c>
    </row>
    <row r="42" ht="40.5" customHeight="1">
      <c r="A42" s="8"/>
      <c r="B42" s="8" t="s">
        <v>170</v>
      </c>
      <c r="C42" s="17">
        <f>Overzicht!C41</f>
        <v>0.006289194774</v>
      </c>
      <c r="D42" s="17">
        <f>Overzicht!C42*Overzicht!$B$5</f>
        <v>0.4878528386</v>
      </c>
      <c r="E42" s="17"/>
      <c r="F42" s="17">
        <f>1/30</f>
        <v>0.03333333333</v>
      </c>
      <c r="G42" s="17">
        <f>Overzicht!C42*Overzicht!F42</f>
        <v>0.0002096398258</v>
      </c>
      <c r="H42" s="17">
        <f>Overzicht!D42*Overzicht!F42</f>
        <v>0.01626176129</v>
      </c>
      <c r="I42" s="17">
        <f>Overzicht!H42/12</f>
        <v>0.001355146774</v>
      </c>
    </row>
    <row r="43" ht="40.5" customHeight="1">
      <c r="B43" s="8"/>
      <c r="C43" s="17"/>
      <c r="D43" s="17"/>
      <c r="E43" s="17"/>
      <c r="F43" s="17"/>
      <c r="G43" s="17"/>
      <c r="H43" s="17"/>
      <c r="I43" s="17"/>
    </row>
    <row r="44" ht="40.5" customHeight="1">
      <c r="A44" s="8" t="s">
        <v>176</v>
      </c>
      <c r="B44" s="38" t="s">
        <v>70</v>
      </c>
      <c r="C44" s="17">
        <f>Uitval!D5</f>
        <v>0.0513014822</v>
      </c>
      <c r="D44" s="17">
        <f>Overzicht!C44*Overzicht!$B$5</f>
        <v>3.979455974</v>
      </c>
      <c r="E44" s="17"/>
      <c r="F44" s="17">
        <f>Overzicht!F39/2</f>
        <v>8.975342466</v>
      </c>
      <c r="G44" s="17">
        <f>Overzicht!C44*Overzicht!F44</f>
        <v>0.4604483717</v>
      </c>
      <c r="H44" s="17">
        <f>Overzicht!D44*Overzicht!F44</f>
        <v>35.71698019</v>
      </c>
      <c r="I44" s="17">
        <f>Overzicht!H44/12</f>
        <v>2.976415016</v>
      </c>
    </row>
    <row r="45" ht="40.5" customHeight="1">
      <c r="A45" s="8"/>
      <c r="B45" s="8"/>
      <c r="C45" s="17"/>
      <c r="D45" s="17"/>
      <c r="E45" s="17"/>
      <c r="F45" s="17"/>
      <c r="G45" s="17"/>
      <c r="H45" s="17"/>
      <c r="I45" s="17"/>
    </row>
    <row r="46" ht="40.5" customHeight="1">
      <c r="A46" s="8" t="s">
        <v>181</v>
      </c>
      <c r="B46" s="8" t="s">
        <v>51</v>
      </c>
      <c r="C46" s="17">
        <f>'Aantal zeedieren gedood'!F116</f>
        <v>1.718874341</v>
      </c>
      <c r="D46" s="17">
        <f>Overzicht!C46*Overzicht!$B$5</f>
        <v>133.3330826</v>
      </c>
      <c r="E46" s="17"/>
      <c r="F46" s="17">
        <f>'Aantal zeedieren gedood'!D122</f>
        <v>25.85692618</v>
      </c>
      <c r="G46" s="17">
        <f>Overzicht!C46*Overzicht!F46</f>
        <v>44.44480696</v>
      </c>
      <c r="H46" s="17">
        <f>Overzicht!D46*Overzicht!F46</f>
        <v>3447.583676</v>
      </c>
      <c r="I46" s="17">
        <f>Overzicht!H46/12</f>
        <v>287.2986396</v>
      </c>
    </row>
    <row r="47" ht="40.5" customHeight="1">
      <c r="A47" s="8"/>
      <c r="B47" s="8" t="s">
        <v>183</v>
      </c>
      <c r="C47" s="17">
        <f>'Aantal zeedieren gedood'!F117</f>
        <v>7.124569856</v>
      </c>
      <c r="D47" s="17">
        <f>Overzicht!C47*Overzicht!$B$5</f>
        <v>552.6528837</v>
      </c>
      <c r="E47" s="17"/>
      <c r="F47" s="17">
        <f>(1/2)*(1/24)*(1/30)</f>
        <v>0.0006944444444</v>
      </c>
      <c r="G47" s="17">
        <f>Overzicht!C47*Overzicht!F47</f>
        <v>0.004947617955</v>
      </c>
      <c r="H47" s="17">
        <f>Overzicht!D47*Overzicht!F47</f>
        <v>0.3837867248</v>
      </c>
      <c r="I47" s="17">
        <f>Overzicht!H47/12</f>
        <v>0.03198222707</v>
      </c>
    </row>
    <row r="48" ht="40.5" customHeight="1">
      <c r="A48" s="8"/>
      <c r="B48" s="8"/>
      <c r="C48" s="17"/>
      <c r="D48" s="17"/>
      <c r="E48" s="17"/>
      <c r="F48" s="17"/>
      <c r="G48" s="17"/>
      <c r="H48" s="17"/>
      <c r="I48" s="17"/>
    </row>
    <row r="49" ht="40.5" customHeight="1">
      <c r="A49" s="8"/>
      <c r="B49" s="8" t="s">
        <v>185</v>
      </c>
      <c r="C49" s="17">
        <f>'Aantal zeedieren gedood'!F128</f>
        <v>67.18126965</v>
      </c>
      <c r="D49" s="17">
        <f>Overzicht!C49*Overzicht!$B$5</f>
        <v>5211.251087</v>
      </c>
      <c r="E49" s="17"/>
      <c r="F49" s="17">
        <v>5.5</v>
      </c>
      <c r="G49" s="17">
        <f>Overzicht!C49*Overzicht!F49</f>
        <v>369.4969831</v>
      </c>
      <c r="H49" s="17">
        <f>Overzicht!D49*Overzicht!F49</f>
        <v>28661.88098</v>
      </c>
      <c r="I49" s="17">
        <f>Overzicht!H49/12</f>
        <v>2388.490081</v>
      </c>
    </row>
    <row r="50" ht="40.5" customHeight="1">
      <c r="A50" s="8"/>
      <c r="B50" s="8" t="s">
        <v>186</v>
      </c>
      <c r="C50" s="17">
        <f>'Aantal zeedieren gedood'!F129</f>
        <v>276.257111</v>
      </c>
      <c r="D50" s="17">
        <f>Overzicht!C50*Overzicht!$B$5</f>
        <v>21429.2641</v>
      </c>
      <c r="E50" s="17"/>
      <c r="F50" s="17">
        <f>Overzicht!F47</f>
        <v>0.0006944444444</v>
      </c>
      <c r="G50" s="17">
        <f>Overzicht!C50*Overzicht!F50</f>
        <v>0.191845216</v>
      </c>
      <c r="H50" s="17">
        <f>Overzicht!D50*Overzicht!F50</f>
        <v>14.88143341</v>
      </c>
      <c r="I50" s="17">
        <f>Overzicht!H50/12</f>
        <v>1.24011945</v>
      </c>
    </row>
    <row r="51" ht="40.5" customHeight="1">
      <c r="A51" s="8"/>
      <c r="B51" s="8"/>
      <c r="C51" s="17"/>
      <c r="D51" s="17">
        <f>SUM(D49:D50)+1924</f>
        <v>28564.51519</v>
      </c>
      <c r="E51" s="17"/>
      <c r="F51" s="17"/>
      <c r="G51" s="17"/>
      <c r="H51" s="17"/>
      <c r="I51" s="17"/>
    </row>
    <row r="52" ht="40.5" customHeight="1">
      <c r="A52" s="8" t="s">
        <v>194</v>
      </c>
      <c r="B52" s="40" t="s">
        <v>195</v>
      </c>
      <c r="C52" s="17">
        <f>Uitval!D10</f>
        <v>0.5623125748</v>
      </c>
      <c r="D52" s="17">
        <f>Overzicht!C52*Overzicht!$B$5</f>
        <v>43.61858643</v>
      </c>
      <c r="E52" s="17"/>
      <c r="F52" s="17">
        <f>Overzicht!F46/2</f>
        <v>12.92846309</v>
      </c>
      <c r="G52" s="17">
        <f>Overzicht!C52*Overzicht!F52</f>
        <v>7.269837369</v>
      </c>
      <c r="H52" s="17">
        <f>Overzicht!D52*Overzicht!F52</f>
        <v>563.9212847</v>
      </c>
      <c r="I52" s="17">
        <f>Overzicht!H52/12</f>
        <v>46.99344039</v>
      </c>
    </row>
    <row r="53" ht="40.5" customHeight="1">
      <c r="A53" s="8"/>
      <c r="B53" s="40" t="s">
        <v>196</v>
      </c>
      <c r="C53" s="17">
        <f>Uitval!D13</f>
        <v>67.18126965</v>
      </c>
      <c r="D53" s="17">
        <f>Overzicht!C53*Overzicht!$B$5</f>
        <v>5211.251087</v>
      </c>
      <c r="E53" s="17"/>
      <c r="F53" s="17">
        <f>Overzicht!F49/2</f>
        <v>2.75</v>
      </c>
      <c r="G53" s="17">
        <f>Overzicht!C53*Overzicht!F53</f>
        <v>184.7484915</v>
      </c>
      <c r="H53" s="17">
        <f>Overzicht!D53*Overzicht!F53</f>
        <v>14330.94049</v>
      </c>
      <c r="I53" s="17">
        <f>Overzicht!H53/12</f>
        <v>1194.245041</v>
      </c>
    </row>
    <row r="54" ht="40.5" customHeight="1">
      <c r="A54" s="8"/>
      <c r="B54" s="8"/>
      <c r="C54" s="17"/>
      <c r="D54" s="17"/>
      <c r="E54" s="17"/>
      <c r="F54" s="17"/>
      <c r="G54" s="17"/>
      <c r="H54" s="17"/>
      <c r="I54" s="17"/>
    </row>
    <row r="55" ht="40.5" customHeight="1">
      <c r="A55" s="8" t="s">
        <v>199</v>
      </c>
      <c r="B55" t="s">
        <v>201</v>
      </c>
      <c r="C55" s="17">
        <f>'Aantal zeedieren gedood'!B283</f>
        <v>386.5421695</v>
      </c>
      <c r="D55" s="17">
        <f>Overzicht!C55*Overzicht!$B$5</f>
        <v>29984.07609</v>
      </c>
      <c r="E55" s="17"/>
      <c r="F55" s="17">
        <f>Overzicht!F47</f>
        <v>0.0006944444444</v>
      </c>
      <c r="G55" s="17">
        <f>Overzicht!C55*Overzicht!F55</f>
        <v>0.2684320622</v>
      </c>
      <c r="H55" s="17">
        <f>Overzicht!D55*Overzicht!F55</f>
        <v>20.82227506</v>
      </c>
      <c r="I55" s="17">
        <f>Overzicht!H55/12</f>
        <v>1.735189588</v>
      </c>
    </row>
    <row r="56" ht="40.5" customHeight="1">
      <c r="A56" s="8"/>
      <c r="B56" s="8" t="s">
        <v>204</v>
      </c>
      <c r="C56" s="17">
        <f>'Aantal zeedieren gedood'!B284</f>
        <v>109.6142449</v>
      </c>
      <c r="D56" s="17">
        <f>Overzicht!C56*Overzicht!$B$5</f>
        <v>8502.776974</v>
      </c>
      <c r="E56" s="17"/>
      <c r="F56" s="17">
        <f>Overzicht!F47</f>
        <v>0.0006944444444</v>
      </c>
      <c r="G56" s="17">
        <f>Overzicht!C56*Overzicht!F56</f>
        <v>0.07612100338</v>
      </c>
      <c r="H56" s="17">
        <f>Overzicht!D56*Overzicht!F56</f>
        <v>5.904706232</v>
      </c>
      <c r="I56" s="17">
        <f>Overzicht!H56/12</f>
        <v>0.4920588527</v>
      </c>
    </row>
    <row r="57" ht="40.5" customHeight="1">
      <c r="A57" s="8"/>
      <c r="B57" s="8" t="s">
        <v>208</v>
      </c>
      <c r="C57" s="17">
        <f>'Aantal zeedieren gedood'!D233</f>
        <v>0.210080007</v>
      </c>
      <c r="D57" s="17"/>
      <c r="E57" s="17"/>
      <c r="F57" s="17">
        <f>Overzicht!F47</f>
        <v>0.0006944444444</v>
      </c>
      <c r="G57" s="17">
        <f>Overzicht!C57*Overzicht!F57</f>
        <v>0.0001458888937</v>
      </c>
      <c r="H57" s="17">
        <f>Overzicht!D57*Overzicht!G57</f>
        <v>0</v>
      </c>
      <c r="I57" s="17">
        <f>Overzicht!E57*Overzicht!H57</f>
        <v>0</v>
      </c>
    </row>
    <row r="58" ht="40.5" customHeight="1">
      <c r="A58" s="8"/>
      <c r="B58" s="8" t="s">
        <v>210</v>
      </c>
      <c r="C58" s="17">
        <f>'Aantal zeedieren gedood'!D234</f>
        <v>0.05957373643</v>
      </c>
      <c r="D58" s="17">
        <f>Overzicht!C58*Overzicht!$B$5</f>
        <v>4.621134735</v>
      </c>
      <c r="E58" s="17"/>
      <c r="F58" s="17">
        <f>Overzicht!F47</f>
        <v>0.0006944444444</v>
      </c>
      <c r="G58" s="17">
        <f>Overzicht!C58*Overzicht!F58</f>
        <v>0.0000413706503</v>
      </c>
      <c r="H58" s="17">
        <f>Overzicht!D58*Overzicht!G58</f>
        <v>0.0001911793491</v>
      </c>
      <c r="I58" s="17">
        <f>Overzicht!E58*Overzicht!H58</f>
        <v>0</v>
      </c>
    </row>
    <row r="59" ht="40.5" customHeight="1">
      <c r="A59" s="8"/>
      <c r="B59" s="8"/>
      <c r="C59" s="17"/>
      <c r="D59" s="17"/>
      <c r="E59" s="17"/>
      <c r="F59" s="17"/>
      <c r="G59" s="17"/>
      <c r="H59" s="17"/>
      <c r="I59" s="17"/>
    </row>
    <row r="60" ht="40.5" customHeight="1">
      <c r="A60" s="8" t="s">
        <v>214</v>
      </c>
      <c r="B60" t="s">
        <v>215</v>
      </c>
      <c r="C60" s="17">
        <f>'Aantal zeedieren gedood'!B285</f>
        <v>8.745012846</v>
      </c>
      <c r="D60" s="17">
        <f>Overzicht!C60*Overzicht!$B$5</f>
        <v>678.3506464</v>
      </c>
      <c r="E60" s="17"/>
      <c r="F60" s="17">
        <f>Overzicht!F47</f>
        <v>0.0006944444444</v>
      </c>
      <c r="G60" s="17">
        <f>Overzicht!C60*Overzicht!F60</f>
        <v>0.006072925587</v>
      </c>
      <c r="H60" s="17">
        <f>Overzicht!D60*Overzicht!F60</f>
        <v>0.4710768378</v>
      </c>
      <c r="I60" s="17">
        <f>Overzicht!H60/12</f>
        <v>0.03925640315</v>
      </c>
    </row>
    <row r="61" ht="40.5" customHeight="1">
      <c r="A61" s="8"/>
      <c r="B61" s="8" t="s">
        <v>219</v>
      </c>
      <c r="C61" s="17">
        <f>'Aantal zeedieren gedood'!B286</f>
        <v>98.91160802</v>
      </c>
      <c r="D61" s="17">
        <f>Overzicht!C61*Overzicht!$B$5</f>
        <v>7672.573434</v>
      </c>
      <c r="E61" s="17"/>
      <c r="F61" s="17">
        <f>Overzicht!F47</f>
        <v>0.0006944444444</v>
      </c>
      <c r="G61" s="17">
        <f>Overzicht!C61*Overzicht!F61</f>
        <v>0.06868861668</v>
      </c>
      <c r="H61" s="17">
        <f>Overzicht!D61*Overzicht!F61</f>
        <v>5.328175996</v>
      </c>
      <c r="I61" s="17">
        <f>Overzicht!H61/12</f>
        <v>0.4440146663</v>
      </c>
    </row>
    <row r="62" ht="40.5" customHeight="1">
      <c r="A62" s="8"/>
      <c r="B62" s="8"/>
      <c r="C62" s="17"/>
      <c r="D62" s="17"/>
      <c r="E62" s="17"/>
      <c r="F62" s="17"/>
      <c r="G62" s="17"/>
      <c r="H62" s="17"/>
      <c r="I62" s="17"/>
    </row>
    <row r="63" ht="12.75" customHeight="1">
      <c r="A63" s="1" t="s">
        <v>222</v>
      </c>
      <c r="B63" s="2"/>
      <c r="C63" s="2"/>
      <c r="D63" s="2"/>
      <c r="E63" s="2"/>
      <c r="F63" s="2"/>
      <c r="G63" s="2"/>
      <c r="H63" s="2"/>
      <c r="I63" s="3"/>
    </row>
    <row r="64" ht="40.5" customHeight="1">
      <c r="A64" s="36" t="s">
        <v>225</v>
      </c>
      <c r="B64" s="36" t="s">
        <v>226</v>
      </c>
      <c r="C64" s="43"/>
      <c r="D64" s="43"/>
      <c r="E64" s="43"/>
      <c r="F64" s="43"/>
      <c r="G64" s="43"/>
      <c r="H64" s="43"/>
      <c r="I64" s="43"/>
    </row>
    <row r="65" ht="40.5" customHeight="1">
      <c r="A65" s="36"/>
      <c r="B65" s="36" t="s">
        <v>227</v>
      </c>
      <c r="C65" s="43"/>
      <c r="D65" s="43"/>
      <c r="E65" s="43"/>
      <c r="F65" s="43"/>
      <c r="G65" s="43"/>
      <c r="H65" s="43"/>
      <c r="I65" s="43"/>
    </row>
    <row r="66" ht="40.5" customHeight="1">
      <c r="A66" s="36"/>
      <c r="B66" s="44" t="s">
        <v>229</v>
      </c>
      <c r="C66" s="43"/>
      <c r="D66" s="43"/>
      <c r="E66" s="43"/>
      <c r="F66" s="43"/>
      <c r="G66" s="43"/>
      <c r="H66" s="43"/>
      <c r="I66" s="43"/>
    </row>
    <row r="67" ht="40.5" customHeight="1">
      <c r="A67" s="36"/>
      <c r="B67" s="36" t="s">
        <v>231</v>
      </c>
      <c r="C67" s="43"/>
      <c r="D67" s="43"/>
      <c r="E67" s="43"/>
      <c r="F67" s="43"/>
      <c r="G67" s="43"/>
      <c r="H67" s="43"/>
      <c r="I67" s="43"/>
    </row>
    <row r="68" ht="40.5" customHeight="1">
      <c r="A68" s="8"/>
      <c r="B68" s="8"/>
    </row>
    <row r="69" ht="40.5" customHeight="1">
      <c r="A69" s="8" t="s">
        <v>232</v>
      </c>
      <c r="B69" s="8" t="s">
        <v>234</v>
      </c>
      <c r="C69" s="8" t="s">
        <v>236</v>
      </c>
      <c r="D69" s="8" t="s">
        <v>237</v>
      </c>
      <c r="E69" s="8" t="s">
        <v>238</v>
      </c>
      <c r="F69" s="8" t="s">
        <v>239</v>
      </c>
      <c r="G69" s="8" t="s">
        <v>240</v>
      </c>
      <c r="H69" s="8" t="s">
        <v>241</v>
      </c>
      <c r="I69" s="8" t="s">
        <v>242</v>
      </c>
      <c r="J69" s="8"/>
      <c r="K69" s="8" t="s">
        <v>180</v>
      </c>
      <c r="L69" s="8" t="s">
        <v>243</v>
      </c>
    </row>
    <row r="70" ht="40.5" customHeight="1">
      <c r="A70" t="s">
        <v>245</v>
      </c>
      <c r="B70" s="38">
        <f>Overzicht!C10+ Overzicht!C12+Overzicht!C18+Overzicht!C23+Overzicht!C46</f>
        <v>17.67309788</v>
      </c>
      <c r="C70" s="17">
        <f>SUM(Overzicht!C28:C30) + Overzicht!C44 + Overzicht!C52</f>
        <v>1.12639434</v>
      </c>
      <c r="D70" s="17">
        <f>Overzicht!C49</f>
        <v>67.18126965</v>
      </c>
      <c r="E70" s="17">
        <f>Overzicht!C53</f>
        <v>67.18126965</v>
      </c>
      <c r="F70" s="17">
        <f>Overzicht!C47</f>
        <v>7.124569856</v>
      </c>
      <c r="G70" s="17">
        <f>Overzicht!C55+Overzicht!C60</f>
        <v>395.2871824</v>
      </c>
      <c r="H70" s="17">
        <f>Overzicht!C50</f>
        <v>276.257111</v>
      </c>
      <c r="I70" s="17">
        <f>Overzicht!C56+Overzicht!C61</f>
        <v>208.5258529</v>
      </c>
      <c r="K70" s="17">
        <f>SUM(Overzicht!B70:I70)</f>
        <v>1040.356748</v>
      </c>
      <c r="L70" s="17">
        <f>Overzicht!$K$70-Overzicht!K70</f>
        <v>0</v>
      </c>
    </row>
    <row r="71" ht="40.5" customHeight="1">
      <c r="A71" s="8" t="s">
        <v>252</v>
      </c>
      <c r="B71" s="17">
        <f>Overzicht!C46</f>
        <v>1.718874341</v>
      </c>
      <c r="C71" s="17">
        <f>Overzicht!C74 + Overzicht!C52</f>
        <v>1.834772653</v>
      </c>
      <c r="D71" s="17">
        <f>Overzicht!D70</f>
        <v>67.18126965</v>
      </c>
      <c r="E71" s="17">
        <f>Overzicht!E70</f>
        <v>67.18126965</v>
      </c>
      <c r="F71" s="17">
        <f>Overzicht!F70</f>
        <v>7.124569856</v>
      </c>
      <c r="G71" s="17">
        <f>Overzicht!G70</f>
        <v>395.2871824</v>
      </c>
      <c r="H71" s="17">
        <f>Overzicht!H70</f>
        <v>276.257111</v>
      </c>
      <c r="I71" s="17">
        <f>Overzicht!I70</f>
        <v>208.5258529</v>
      </c>
      <c r="K71" s="17">
        <f>SUM(Overzicht!B71:I71)</f>
        <v>1025.110902</v>
      </c>
      <c r="L71" s="17">
        <f>Overzicht!$K$70-Overzicht!K71</f>
        <v>15.24584522</v>
      </c>
    </row>
    <row r="72" ht="40.5" customHeight="1">
      <c r="A72" s="8" t="s">
        <v>259</v>
      </c>
      <c r="B72" s="38">
        <f>Overzicht!B70/2</f>
        <v>8.836548939</v>
      </c>
      <c r="C72" s="38">
        <f>Overzicht!C70/2</f>
        <v>0.5631971702</v>
      </c>
      <c r="D72" s="38">
        <f>Overzicht!D70/2</f>
        <v>33.59063483</v>
      </c>
      <c r="E72" s="38">
        <f>Overzicht!E70/2</f>
        <v>33.59063483</v>
      </c>
      <c r="F72" s="38">
        <f>Overzicht!F70/2</f>
        <v>3.562284928</v>
      </c>
      <c r="G72" s="38">
        <f>Overzicht!G70/2</f>
        <v>197.6435912</v>
      </c>
      <c r="H72" s="38">
        <f>Overzicht!H70/2</f>
        <v>138.1285555</v>
      </c>
      <c r="I72" s="38">
        <f>Overzicht!I70/2</f>
        <v>104.2629264</v>
      </c>
      <c r="K72" s="17">
        <f>SUM(Overzicht!B72:I72)</f>
        <v>520.1783738</v>
      </c>
      <c r="L72" s="17">
        <f>Overzicht!$K$70-Overzicht!K72</f>
        <v>520.1783738</v>
      </c>
    </row>
    <row r="73" ht="40.5" customHeight="1">
      <c r="A73" t="s">
        <v>269</v>
      </c>
      <c r="B73" s="38"/>
      <c r="C73" s="38">
        <f>Overzicht!C74*1.1</f>
        <v>1.399706086</v>
      </c>
      <c r="D73" s="38"/>
      <c r="E73" s="38"/>
      <c r="F73" s="38"/>
      <c r="G73" s="38">
        <f>Overzicht!G74*1.1</f>
        <v>0.2310880077</v>
      </c>
      <c r="H73" s="38"/>
      <c r="I73" s="38">
        <f>Overzicht!I74*1.1</f>
        <v>0.06553111007</v>
      </c>
      <c r="K73" s="17">
        <f>SUM(Overzicht!B73:I73)</f>
        <v>1.696325204</v>
      </c>
      <c r="L73" s="17">
        <f>Overzicht!$K$70-Overzicht!K73</f>
        <v>1038.660422</v>
      </c>
    </row>
    <row r="74" ht="40.5" customHeight="1">
      <c r="A74" t="s">
        <v>274</v>
      </c>
      <c r="B74" s="38"/>
      <c r="C74" s="17">
        <f>SUM(Overzicht!C33:C36) + SUM(Overzicht!C39:C42) + Overzicht!C44</f>
        <v>1.272460079</v>
      </c>
      <c r="D74" s="17"/>
      <c r="E74" s="17"/>
      <c r="F74" s="17"/>
      <c r="G74" s="17">
        <f>Overzicht!C57</f>
        <v>0.210080007</v>
      </c>
      <c r="H74" s="17"/>
      <c r="I74" s="17">
        <f>Overzicht!C58</f>
        <v>0.05957373643</v>
      </c>
      <c r="K74" s="17">
        <f>SUM(Overzicht!B74:I74)</f>
        <v>1.542113822</v>
      </c>
      <c r="L74" s="17">
        <f>Overzicht!$K$70-Overzicht!K74</f>
        <v>1038.814634</v>
      </c>
    </row>
    <row r="75" ht="40.5" customHeight="1">
      <c r="A75" t="s">
        <v>275</v>
      </c>
      <c r="B75" s="38"/>
      <c r="C75" s="38">
        <f>Overzicht!C74*0.1</f>
        <v>0.1272460079</v>
      </c>
      <c r="D75" s="17"/>
      <c r="E75" s="17"/>
      <c r="F75" s="17"/>
      <c r="G75" s="38">
        <f>Overzicht!G74*0.1</f>
        <v>0.0210080007</v>
      </c>
      <c r="H75" s="17"/>
      <c r="I75" s="38">
        <f>Overzicht!I74*0.1</f>
        <v>0.005957373643</v>
      </c>
      <c r="K75" s="17">
        <f>SUM(Overzicht!B75:I75)</f>
        <v>0.1542113822</v>
      </c>
      <c r="L75" s="17">
        <f>Overzicht!$K$70-Overzicht!K75</f>
        <v>1040.202536</v>
      </c>
    </row>
    <row r="76" ht="40.5" customHeight="1">
      <c r="A76" s="8" t="s">
        <v>277</v>
      </c>
      <c r="B76" s="38"/>
      <c r="C76" s="17"/>
      <c r="D76" s="17"/>
      <c r="E76" s="17"/>
      <c r="F76" s="17"/>
      <c r="G76" s="17"/>
      <c r="H76" s="17"/>
      <c r="I76" s="17"/>
      <c r="K76" s="17">
        <f>SUM(Overzicht!B76:I76)</f>
        <v>0</v>
      </c>
      <c r="L76" s="17">
        <f>Overzicht!$K$70-Overzicht!K76</f>
        <v>1040.356748</v>
      </c>
    </row>
    <row r="77" ht="40.5" customHeight="1">
      <c r="A77" s="8"/>
      <c r="B77" s="38"/>
      <c r="C77" s="17"/>
      <c r="D77" s="17"/>
      <c r="E77" s="17"/>
      <c r="F77" s="17"/>
      <c r="G77" s="17"/>
      <c r="H77" s="17"/>
      <c r="I77" s="17"/>
      <c r="K77" s="17"/>
      <c r="L77" s="17"/>
    </row>
    <row r="78" ht="40.5" customHeight="1">
      <c r="A78" s="8" t="s">
        <v>278</v>
      </c>
      <c r="B78" s="38"/>
      <c r="C78" s="17"/>
      <c r="D78" s="17"/>
      <c r="E78" s="17"/>
      <c r="F78" s="17"/>
      <c r="G78" s="17"/>
      <c r="H78" s="17"/>
      <c r="I78" s="17"/>
      <c r="K78" s="17"/>
      <c r="L78" s="38" t="s">
        <v>279</v>
      </c>
    </row>
    <row r="79" ht="40.5" customHeight="1">
      <c r="A79" t="s">
        <v>245</v>
      </c>
      <c r="B79" s="38">
        <f>Overzicht!G10+ Overzicht!G13+Overzicht!G18+Overzicht!G23+Overzicht!G46</f>
        <v>70.51981042</v>
      </c>
      <c r="C79" s="17">
        <f>SUM(Overzicht!G28:G30) + Overzicht!G44 + Overzicht!G52</f>
        <v>8.255008943</v>
      </c>
      <c r="D79" s="17">
        <f>Overzicht!G49</f>
        <v>369.4969831</v>
      </c>
      <c r="E79" s="17">
        <f>Overzicht!G53</f>
        <v>184.7484915</v>
      </c>
      <c r="F79" s="17">
        <f>Overzicht!G47</f>
        <v>0.004947617955</v>
      </c>
      <c r="G79" s="17">
        <f>Overzicht!G55+Overzicht!G60</f>
        <v>0.2745049877</v>
      </c>
      <c r="H79" s="17">
        <f>Overzicht!G50</f>
        <v>0.191845216</v>
      </c>
      <c r="I79" s="17">
        <f>Overzicht!G56+Overzicht!G61</f>
        <v>0.1448096201</v>
      </c>
      <c r="K79" s="17">
        <f>SUM(Overzicht!B79:I79)</f>
        <v>633.6364014</v>
      </c>
      <c r="L79" s="17">
        <f>Overzicht!$K$79-Overzicht!K79</f>
        <v>0</v>
      </c>
    </row>
    <row r="80" ht="40.5" customHeight="1">
      <c r="A80" s="8" t="s">
        <v>252</v>
      </c>
      <c r="B80" s="17">
        <f>Overzicht!G46</f>
        <v>44.44480696</v>
      </c>
      <c r="C80" s="17">
        <f>Overzicht!G74 + Overzicht!G52</f>
        <v>7.479917376</v>
      </c>
      <c r="D80" s="17">
        <f>Overzicht!D79</f>
        <v>369.4969831</v>
      </c>
      <c r="E80" s="17">
        <f>Overzicht!E79</f>
        <v>184.7484915</v>
      </c>
      <c r="F80" s="17">
        <f>Overzicht!F79</f>
        <v>0.004947617955</v>
      </c>
      <c r="G80" s="17">
        <f>Overzicht!G79</f>
        <v>0.2745049877</v>
      </c>
      <c r="H80" s="17">
        <f>Overzicht!H79</f>
        <v>0.191845216</v>
      </c>
      <c r="I80" s="17">
        <f>Overzicht!I79</f>
        <v>0.1448096201</v>
      </c>
      <c r="K80" s="17">
        <f>SUM(Overzicht!B80:I80)</f>
        <v>606.7863064</v>
      </c>
      <c r="L80" s="17">
        <f>Overzicht!$K$79-Overzicht!K80</f>
        <v>26.85009503</v>
      </c>
    </row>
    <row r="81" ht="40.5" customHeight="1">
      <c r="A81" s="8" t="s">
        <v>259</v>
      </c>
      <c r="B81" s="38">
        <f>Overzicht!B79/2</f>
        <v>35.25990521</v>
      </c>
      <c r="C81" s="38">
        <f>Overzicht!C79/2</f>
        <v>4.127504471</v>
      </c>
      <c r="D81" s="38">
        <f>Overzicht!D79/2</f>
        <v>184.7484915</v>
      </c>
      <c r="E81" s="38">
        <f>Overzicht!E79/2</f>
        <v>92.37424577</v>
      </c>
      <c r="F81" s="38">
        <f>Overzicht!F79/2</f>
        <v>0.002473808978</v>
      </c>
      <c r="G81" s="38">
        <f>Overzicht!G79/2</f>
        <v>0.1372524939</v>
      </c>
      <c r="H81" s="38">
        <f>Overzicht!H79/2</f>
        <v>0.095922608</v>
      </c>
      <c r="I81" s="38">
        <f>Overzicht!I79/2</f>
        <v>0.07240481003</v>
      </c>
      <c r="K81" s="17">
        <f>SUM(Overzicht!B81:I81)</f>
        <v>316.8182007</v>
      </c>
      <c r="L81" s="17">
        <f>Overzicht!$K$79-Overzicht!K81</f>
        <v>316.8182007</v>
      </c>
    </row>
    <row r="82" ht="40.5" customHeight="1">
      <c r="A82" t="s">
        <v>269</v>
      </c>
      <c r="B82" s="38"/>
      <c r="C82" s="38">
        <f>Overzicht!C83*1.1</f>
        <v>12.85056888</v>
      </c>
      <c r="D82" s="38"/>
      <c r="E82" s="38"/>
      <c r="F82" s="38"/>
      <c r="G82" s="38">
        <f>Overzicht!G83*1.1</f>
        <v>0.0001604777831</v>
      </c>
      <c r="H82" s="38"/>
      <c r="I82" s="38">
        <f>Overzicht!I83*1.1</f>
        <v>0.00004550771533</v>
      </c>
      <c r="K82" s="17">
        <f>SUM(Overzicht!B82:I82)</f>
        <v>12.85077486</v>
      </c>
      <c r="L82" s="17">
        <f>Overzicht!$K$79-Overzicht!K82</f>
        <v>620.7856266</v>
      </c>
    </row>
    <row r="83" ht="40.5" customHeight="1">
      <c r="A83" t="s">
        <v>274</v>
      </c>
      <c r="B83" s="38"/>
      <c r="C83" s="17">
        <f>SUM(Overzicht!G33:G36) + SUM(Overzicht!G39:G42) + Overzicht!G44</f>
        <v>11.68233534</v>
      </c>
      <c r="D83" s="17"/>
      <c r="E83" s="17"/>
      <c r="F83" s="17"/>
      <c r="G83" s="17">
        <f>Overzicht!G57</f>
        <v>0.0001458888937</v>
      </c>
      <c r="H83" s="17"/>
      <c r="I83" s="17">
        <f>Overzicht!G58</f>
        <v>0.0000413706503</v>
      </c>
      <c r="K83" s="17">
        <f>SUM(Overzicht!B83:I83)</f>
        <v>11.6825226</v>
      </c>
      <c r="L83" s="17">
        <f>Overzicht!$K$79-Overzicht!K83</f>
        <v>621.9538788</v>
      </c>
    </row>
    <row r="84" ht="40.5" customHeight="1">
      <c r="A84" t="s">
        <v>275</v>
      </c>
      <c r="B84" s="38"/>
      <c r="C84" s="38">
        <f>Overzicht!C83*0.1</f>
        <v>1.168233534</v>
      </c>
      <c r="D84" s="17"/>
      <c r="E84" s="17"/>
      <c r="F84" s="17"/>
      <c r="G84" s="38">
        <f>Overzicht!G83*0.1</f>
        <v>0.00001458888937</v>
      </c>
      <c r="H84" s="17"/>
      <c r="I84" s="38">
        <f>Overzicht!I83*0.1</f>
        <v>0.00000413706503</v>
      </c>
      <c r="K84" s="17">
        <f>SUM(Overzicht!B84:I84)</f>
        <v>1.16825226</v>
      </c>
      <c r="L84" s="17">
        <f>Overzicht!$K$79-Overzicht!K84</f>
        <v>632.4681492</v>
      </c>
    </row>
    <row r="85" ht="40.5" customHeight="1">
      <c r="A85" s="8" t="s">
        <v>277</v>
      </c>
      <c r="B85" s="8"/>
      <c r="K85" s="17">
        <f>SUM(Overzicht!B85:I85)</f>
        <v>0</v>
      </c>
      <c r="L85" s="17">
        <f>Overzicht!$K$79-Overzicht!K85</f>
        <v>633.6364014</v>
      </c>
    </row>
    <row r="86" ht="40.5" customHeight="1">
      <c r="A86" s="8"/>
      <c r="B86" s="8"/>
    </row>
    <row r="87" ht="40.5" customHeight="1">
      <c r="A87" s="8" t="s">
        <v>287</v>
      </c>
      <c r="B87" s="38">
        <f>Overzicht!K79/12</f>
        <v>52.80303345</v>
      </c>
    </row>
    <row r="88" ht="40.5" customHeight="1">
      <c r="A88" s="8"/>
      <c r="B88" s="8"/>
    </row>
    <row r="89" ht="12.75" customHeight="1">
      <c r="A89" t="s">
        <v>288</v>
      </c>
    </row>
    <row r="90" ht="40.5" customHeight="1">
      <c r="A90" s="8"/>
      <c r="B90" s="8"/>
    </row>
    <row r="91" ht="40.5" customHeight="1">
      <c r="A91" s="8"/>
      <c r="B91" s="8"/>
    </row>
    <row r="92" ht="40.5" customHeight="1">
      <c r="A92" s="8"/>
      <c r="B92" s="8"/>
    </row>
    <row r="93" ht="40.5" customHeight="1">
      <c r="A93" s="8"/>
      <c r="B93" s="8"/>
    </row>
    <row r="94" ht="40.5" customHeight="1">
      <c r="A94" s="8"/>
      <c r="B94" s="8"/>
    </row>
    <row r="95" ht="40.5" customHeight="1">
      <c r="A95" s="8"/>
      <c r="B95" s="8"/>
    </row>
    <row r="96" ht="40.5" customHeight="1">
      <c r="A96" s="8"/>
      <c r="B96" s="8"/>
    </row>
    <row r="97" ht="40.5" customHeight="1">
      <c r="A97" s="8"/>
      <c r="B97" s="8"/>
    </row>
    <row r="98" ht="40.5" customHeight="1">
      <c r="A98" s="8"/>
      <c r="B98" s="8"/>
    </row>
    <row r="99" ht="40.5" customHeight="1">
      <c r="A99" s="8"/>
      <c r="B99" s="8"/>
    </row>
    <row r="100" ht="40.5" customHeight="1">
      <c r="A100" s="8"/>
      <c r="B100" s="8"/>
    </row>
    <row r="101" ht="40.5" customHeight="1">
      <c r="A101" s="8"/>
      <c r="B101" s="8"/>
    </row>
    <row r="102" ht="40.5" customHeight="1">
      <c r="A102" s="8"/>
      <c r="B102" s="8"/>
    </row>
    <row r="103" ht="40.5" customHeight="1">
      <c r="A103" s="8"/>
      <c r="B103" s="8"/>
    </row>
    <row r="104" ht="40.5" customHeight="1">
      <c r="A104" s="8"/>
      <c r="B104" s="8"/>
    </row>
    <row r="105" ht="40.5" customHeight="1">
      <c r="A105" s="8"/>
      <c r="B105" s="8"/>
    </row>
    <row r="106" ht="40.5" customHeight="1">
      <c r="A106" s="8"/>
      <c r="B106" s="8"/>
    </row>
    <row r="107" ht="40.5" customHeight="1">
      <c r="A107" s="8"/>
      <c r="B107" s="8"/>
    </row>
    <row r="108" ht="40.5" customHeight="1">
      <c r="A108" s="8"/>
      <c r="B108" s="8"/>
    </row>
    <row r="109" ht="40.5" customHeight="1">
      <c r="A109" s="8"/>
      <c r="B109" s="8"/>
    </row>
    <row r="110" ht="40.5" customHeight="1">
      <c r="A110" s="8"/>
      <c r="B110" s="8"/>
    </row>
    <row r="111" ht="40.5" customHeight="1">
      <c r="A111" s="8"/>
      <c r="B111" s="8"/>
    </row>
    <row r="112" ht="40.5" customHeight="1">
      <c r="A112" s="8"/>
      <c r="B112" s="8"/>
    </row>
    <row r="113" ht="40.5" customHeight="1">
      <c r="A113" s="8"/>
      <c r="B113" s="8"/>
    </row>
    <row r="114" ht="40.5" customHeight="1">
      <c r="A114" s="8"/>
      <c r="B114" s="8"/>
    </row>
    <row r="115" ht="40.5" customHeight="1">
      <c r="A115" s="8"/>
      <c r="B115" s="8"/>
    </row>
    <row r="116" ht="40.5" customHeight="1">
      <c r="A116" s="8"/>
      <c r="B116" s="8"/>
    </row>
    <row r="117" ht="40.5" customHeight="1">
      <c r="A117" s="8"/>
      <c r="B117" s="8"/>
    </row>
    <row r="118" ht="40.5" customHeight="1">
      <c r="A118" s="8"/>
      <c r="B118" s="8"/>
    </row>
    <row r="119" ht="40.5" customHeight="1">
      <c r="A119" s="8"/>
      <c r="B119" s="8"/>
    </row>
    <row r="120" ht="40.5" customHeight="1">
      <c r="A120" s="8"/>
      <c r="B120" s="8"/>
    </row>
    <row r="121" ht="40.5" customHeight="1">
      <c r="A121" s="8"/>
      <c r="B121" s="8"/>
    </row>
    <row r="122" ht="40.5" customHeight="1">
      <c r="A122" s="8"/>
      <c r="B122" s="8"/>
    </row>
    <row r="123" ht="40.5" customHeight="1">
      <c r="A123" s="8"/>
      <c r="B123" s="8"/>
    </row>
    <row r="124" ht="40.5" customHeight="1">
      <c r="A124" s="8"/>
      <c r="B124" s="8"/>
    </row>
    <row r="125" ht="40.5" customHeight="1">
      <c r="A125" s="8"/>
      <c r="B125" s="8"/>
    </row>
    <row r="126" ht="40.5" customHeight="1">
      <c r="A126" s="8"/>
      <c r="B126" s="8"/>
    </row>
    <row r="127" ht="40.5" customHeight="1">
      <c r="A127" s="8"/>
      <c r="B127" s="8"/>
    </row>
    <row r="128" ht="40.5" customHeight="1">
      <c r="A128" s="8"/>
      <c r="B128" s="8"/>
    </row>
    <row r="129" ht="40.5" customHeight="1">
      <c r="A129" s="8"/>
      <c r="B129" s="8"/>
    </row>
    <row r="130" ht="40.5" customHeight="1">
      <c r="A130" s="8"/>
      <c r="B130" s="8"/>
    </row>
    <row r="131" ht="40.5" customHeight="1">
      <c r="A131" s="8"/>
      <c r="B131" s="8"/>
    </row>
    <row r="132" ht="40.5" customHeight="1">
      <c r="A132" s="8"/>
      <c r="B132" s="8"/>
    </row>
    <row r="133" ht="40.5" customHeight="1">
      <c r="A133" s="8"/>
      <c r="B133" s="8"/>
    </row>
    <row r="134" ht="40.5" customHeight="1">
      <c r="A134" s="8"/>
      <c r="B134" s="8"/>
    </row>
    <row r="135" ht="40.5" customHeight="1">
      <c r="A135" s="8"/>
      <c r="B135" s="8"/>
    </row>
    <row r="136" ht="40.5" customHeight="1">
      <c r="A136" s="8"/>
      <c r="B136" s="8"/>
    </row>
    <row r="137" ht="40.5" customHeight="1">
      <c r="A137" s="8"/>
      <c r="B137" s="8"/>
    </row>
    <row r="138" ht="40.5" customHeight="1">
      <c r="A138" s="8"/>
      <c r="B138" s="8"/>
    </row>
    <row r="139" ht="40.5" customHeight="1">
      <c r="A139" s="8"/>
      <c r="B139" s="8"/>
    </row>
    <row r="140" ht="40.5" customHeight="1">
      <c r="A140" s="8"/>
      <c r="B140" s="8"/>
    </row>
    <row r="141" ht="40.5" customHeight="1">
      <c r="A141" s="8"/>
      <c r="B141" s="8"/>
    </row>
    <row r="142" ht="40.5" customHeight="1">
      <c r="A142" s="8"/>
      <c r="B142" s="8"/>
    </row>
    <row r="143" ht="40.5" customHeight="1">
      <c r="A143" s="8"/>
      <c r="B143" s="8"/>
    </row>
    <row r="144" ht="40.5" customHeight="1">
      <c r="A144" s="8"/>
      <c r="B144" s="8"/>
    </row>
    <row r="145" ht="40.5" customHeight="1">
      <c r="A145" s="8"/>
      <c r="B145" s="8"/>
    </row>
    <row r="146" ht="40.5" customHeight="1">
      <c r="A146" s="8"/>
      <c r="B146" s="8"/>
    </row>
    <row r="147" ht="40.5" customHeight="1">
      <c r="A147" s="8"/>
      <c r="B147" s="8"/>
    </row>
    <row r="148" ht="40.5" customHeight="1">
      <c r="A148" s="8"/>
      <c r="B148" s="8"/>
    </row>
    <row r="149" ht="40.5" customHeight="1">
      <c r="A149" s="8"/>
      <c r="B149" s="8"/>
    </row>
    <row r="150" ht="40.5" customHeight="1">
      <c r="A150" s="8"/>
      <c r="B150" s="8"/>
    </row>
    <row r="151" ht="40.5" customHeight="1">
      <c r="A151" s="8"/>
      <c r="B151" s="8"/>
    </row>
    <row r="152" ht="40.5" customHeight="1">
      <c r="A152" s="8"/>
      <c r="B152" s="8"/>
    </row>
    <row r="153" ht="40.5" customHeight="1">
      <c r="A153" s="8"/>
      <c r="B153" s="8"/>
    </row>
    <row r="154" ht="40.5" customHeight="1">
      <c r="A154" s="8"/>
      <c r="B154" s="8"/>
    </row>
    <row r="155" ht="40.5" customHeight="1">
      <c r="A155" s="8"/>
      <c r="B155" s="8"/>
    </row>
    <row r="156" ht="40.5" customHeight="1">
      <c r="A156" s="8"/>
      <c r="B156" s="8"/>
    </row>
    <row r="157" ht="40.5" customHeight="1">
      <c r="A157" s="8"/>
      <c r="B157" s="8"/>
    </row>
    <row r="158" ht="40.5" customHeight="1">
      <c r="A158" s="8"/>
      <c r="B158" s="8"/>
    </row>
    <row r="159" ht="40.5" customHeight="1">
      <c r="A159" s="8"/>
      <c r="B159" s="8"/>
    </row>
    <row r="160" ht="40.5" customHeight="1">
      <c r="A160" s="8"/>
      <c r="B160" s="8"/>
    </row>
    <row r="161" ht="40.5" customHeight="1">
      <c r="A161" s="8"/>
      <c r="B161" s="8"/>
    </row>
    <row r="162" ht="40.5" customHeight="1">
      <c r="A162" s="8"/>
      <c r="B162" s="8"/>
    </row>
    <row r="163" ht="40.5" customHeight="1">
      <c r="A163" s="8"/>
      <c r="B163" s="8"/>
    </row>
    <row r="164" ht="40.5" customHeight="1">
      <c r="A164" s="8"/>
      <c r="B164" s="8"/>
    </row>
    <row r="165" ht="40.5" customHeight="1">
      <c r="A165" s="8"/>
      <c r="B165" s="8"/>
    </row>
    <row r="166" ht="40.5" customHeight="1">
      <c r="A166" s="8"/>
      <c r="B166" s="8"/>
    </row>
    <row r="167" ht="40.5" customHeight="1">
      <c r="A167" s="8"/>
      <c r="B167" s="8"/>
    </row>
    <row r="168" ht="40.5" customHeight="1">
      <c r="A168" s="8"/>
      <c r="B168" s="8"/>
    </row>
    <row r="169" ht="40.5" customHeight="1">
      <c r="A169" s="8"/>
      <c r="B169" s="8"/>
    </row>
    <row r="170" ht="40.5" customHeight="1">
      <c r="A170" s="8"/>
      <c r="B170" s="8"/>
    </row>
    <row r="171" ht="40.5" customHeight="1">
      <c r="A171" s="8"/>
      <c r="B171" s="8"/>
    </row>
    <row r="172" ht="40.5" customHeight="1">
      <c r="A172" s="8"/>
      <c r="B172" s="8"/>
    </row>
    <row r="173" ht="40.5" customHeight="1">
      <c r="A173" s="8"/>
      <c r="B173" s="8"/>
    </row>
    <row r="174" ht="40.5" customHeight="1">
      <c r="A174" s="8"/>
      <c r="B174" s="8"/>
    </row>
    <row r="175" ht="40.5" customHeight="1">
      <c r="A175" s="8"/>
      <c r="B175" s="8"/>
    </row>
    <row r="176" ht="40.5" customHeight="1">
      <c r="A176" s="8"/>
      <c r="B176" s="8"/>
    </row>
    <row r="177" ht="40.5" customHeight="1">
      <c r="A177" s="8"/>
      <c r="B177" s="8"/>
    </row>
    <row r="178" ht="40.5" customHeight="1">
      <c r="A178" s="8"/>
      <c r="B178" s="8"/>
    </row>
    <row r="179" ht="40.5" customHeight="1">
      <c r="A179" s="8"/>
      <c r="B179" s="8"/>
    </row>
    <row r="180" ht="40.5" customHeight="1">
      <c r="A180" s="8"/>
      <c r="B180" s="8"/>
    </row>
    <row r="181" ht="40.5" customHeight="1">
      <c r="A181" s="8"/>
      <c r="B181" s="8"/>
    </row>
    <row r="182" ht="40.5" customHeight="1">
      <c r="A182" s="8"/>
      <c r="B182" s="8"/>
    </row>
    <row r="183" ht="40.5" customHeight="1">
      <c r="A183" s="8"/>
      <c r="B183" s="8"/>
    </row>
    <row r="184" ht="40.5" customHeight="1">
      <c r="A184" s="8"/>
      <c r="B184" s="8"/>
    </row>
    <row r="185" ht="40.5" customHeight="1">
      <c r="A185" s="8"/>
      <c r="B185" s="8"/>
    </row>
    <row r="186" ht="40.5" customHeight="1">
      <c r="A186" s="8"/>
      <c r="B186" s="8"/>
    </row>
    <row r="187" ht="40.5" customHeight="1">
      <c r="A187" s="8"/>
      <c r="B187" s="8"/>
    </row>
    <row r="188" ht="40.5" customHeight="1">
      <c r="A188" s="8"/>
      <c r="B188" s="8"/>
    </row>
    <row r="189" ht="40.5" customHeight="1">
      <c r="A189" s="8"/>
      <c r="B189" s="8"/>
    </row>
    <row r="190" ht="40.5" customHeight="1">
      <c r="A190" s="8"/>
      <c r="B190" s="8"/>
    </row>
    <row r="191" ht="40.5" customHeight="1">
      <c r="A191" s="8"/>
      <c r="B191" s="8"/>
    </row>
    <row r="192" ht="40.5" customHeight="1">
      <c r="A192" s="8"/>
      <c r="B192" s="8"/>
    </row>
    <row r="193" ht="40.5" customHeight="1">
      <c r="A193" s="8"/>
      <c r="B193" s="8"/>
    </row>
    <row r="194" ht="40.5" customHeight="1">
      <c r="A194" s="8"/>
      <c r="B194" s="8"/>
    </row>
    <row r="195" ht="40.5" customHeight="1">
      <c r="A195" s="8"/>
      <c r="B195" s="8"/>
    </row>
    <row r="196" ht="40.5" customHeight="1">
      <c r="A196" s="8"/>
      <c r="B196" s="8"/>
    </row>
    <row r="197" ht="40.5" customHeight="1">
      <c r="A197" s="8"/>
      <c r="B197" s="8"/>
    </row>
    <row r="198" ht="40.5" customHeight="1">
      <c r="A198" s="8"/>
      <c r="B198" s="8"/>
    </row>
    <row r="199" ht="40.5" customHeight="1">
      <c r="A199" s="8"/>
      <c r="B199" s="8"/>
    </row>
    <row r="200" ht="40.5" customHeight="1">
      <c r="A200" s="8"/>
      <c r="B200" s="8"/>
    </row>
    <row r="201" ht="40.5" customHeight="1">
      <c r="A201" s="8"/>
      <c r="B201" s="8"/>
    </row>
    <row r="202" ht="40.5" customHeight="1">
      <c r="A202" s="8"/>
      <c r="B202" s="8"/>
    </row>
    <row r="203" ht="40.5" customHeight="1">
      <c r="A203" s="8"/>
      <c r="B203" s="8"/>
    </row>
    <row r="204" ht="40.5" customHeight="1">
      <c r="A204" s="8"/>
      <c r="B204" s="8"/>
    </row>
    <row r="205" ht="40.5" customHeight="1">
      <c r="A205" s="8"/>
      <c r="B205" s="8"/>
    </row>
    <row r="206" ht="40.5" customHeight="1">
      <c r="A206" s="8"/>
      <c r="B206" s="8"/>
    </row>
    <row r="207" ht="40.5" customHeight="1">
      <c r="A207" s="8"/>
      <c r="B207" s="8"/>
    </row>
    <row r="208" ht="40.5" customHeight="1">
      <c r="A208" s="8"/>
      <c r="B208" s="8"/>
    </row>
    <row r="209" ht="40.5" customHeight="1">
      <c r="A209" s="8"/>
      <c r="B209" s="8"/>
    </row>
    <row r="210" ht="40.5" customHeight="1">
      <c r="A210" s="8"/>
      <c r="B210" s="8"/>
    </row>
    <row r="211" ht="40.5" customHeight="1">
      <c r="A211" s="8"/>
      <c r="B211" s="8"/>
    </row>
    <row r="212" ht="40.5" customHeight="1">
      <c r="A212" s="8"/>
      <c r="B212" s="8"/>
    </row>
    <row r="213" ht="40.5" customHeight="1">
      <c r="A213" s="8"/>
      <c r="B213" s="8"/>
    </row>
    <row r="214" ht="40.5" customHeight="1">
      <c r="A214" s="8"/>
      <c r="B214" s="8"/>
    </row>
    <row r="215" ht="40.5" customHeight="1">
      <c r="A215" s="8"/>
      <c r="B215" s="8"/>
    </row>
    <row r="216" ht="40.5" customHeight="1">
      <c r="A216" s="8"/>
      <c r="B216" s="8"/>
    </row>
    <row r="217" ht="40.5" customHeight="1">
      <c r="A217" s="8"/>
      <c r="B217" s="8"/>
    </row>
    <row r="218" ht="40.5" customHeight="1">
      <c r="A218" s="8"/>
      <c r="B218" s="8"/>
    </row>
    <row r="219" ht="40.5" customHeight="1">
      <c r="A219" s="8"/>
      <c r="B219" s="8"/>
    </row>
    <row r="220" ht="40.5" customHeight="1">
      <c r="A220" s="8"/>
      <c r="B220" s="8"/>
    </row>
    <row r="221" ht="40.5" customHeight="1">
      <c r="A221" s="8"/>
      <c r="B221" s="8"/>
    </row>
    <row r="222" ht="40.5" customHeight="1">
      <c r="A222" s="8"/>
      <c r="B222" s="8"/>
    </row>
    <row r="223" ht="40.5" customHeight="1">
      <c r="A223" s="8"/>
      <c r="B223" s="8"/>
    </row>
    <row r="224" ht="40.5" customHeight="1">
      <c r="A224" s="8"/>
      <c r="B224" s="8"/>
    </row>
    <row r="225" ht="40.5" customHeight="1">
      <c r="A225" s="8"/>
      <c r="B225" s="8"/>
    </row>
    <row r="226" ht="40.5" customHeight="1">
      <c r="A226" s="8"/>
      <c r="B226" s="8"/>
    </row>
    <row r="227" ht="40.5" customHeight="1">
      <c r="A227" s="8"/>
      <c r="B227" s="8"/>
    </row>
    <row r="228" ht="40.5" customHeight="1">
      <c r="A228" s="8"/>
      <c r="B228" s="8"/>
    </row>
    <row r="229" ht="40.5" customHeight="1">
      <c r="A229" s="8"/>
      <c r="B229" s="8"/>
    </row>
    <row r="230" ht="40.5" customHeight="1">
      <c r="A230" s="8"/>
      <c r="B230" s="8"/>
    </row>
    <row r="231" ht="40.5" customHeight="1">
      <c r="A231" s="8"/>
      <c r="B231" s="8"/>
    </row>
    <row r="232" ht="40.5" customHeight="1">
      <c r="A232" s="8"/>
      <c r="B232" s="8"/>
    </row>
    <row r="233" ht="40.5" customHeight="1">
      <c r="A233" s="8"/>
      <c r="B233" s="8"/>
    </row>
    <row r="234" ht="40.5" customHeight="1">
      <c r="A234" s="8"/>
      <c r="B234" s="8"/>
    </row>
    <row r="235" ht="40.5" customHeight="1">
      <c r="A235" s="8"/>
      <c r="B235" s="8"/>
    </row>
    <row r="236" ht="40.5" customHeight="1">
      <c r="A236" s="8"/>
      <c r="B236" s="8"/>
    </row>
    <row r="237" ht="40.5" customHeight="1">
      <c r="A237" s="8"/>
      <c r="B237" s="8"/>
    </row>
    <row r="238" ht="40.5" customHeight="1">
      <c r="A238" s="8"/>
      <c r="B238" s="8"/>
    </row>
    <row r="239" ht="40.5" customHeight="1">
      <c r="A239" s="8"/>
      <c r="B239" s="8"/>
    </row>
    <row r="240" ht="40.5" customHeight="1">
      <c r="A240" s="8"/>
      <c r="B240" s="8"/>
    </row>
    <row r="241" ht="40.5" customHeight="1">
      <c r="A241" s="8"/>
      <c r="B241" s="8"/>
    </row>
    <row r="242" ht="40.5" customHeight="1">
      <c r="A242" s="8"/>
      <c r="B242" s="8"/>
    </row>
    <row r="243" ht="40.5" customHeight="1">
      <c r="A243" s="8"/>
      <c r="B243" s="8"/>
    </row>
    <row r="244" ht="40.5" customHeight="1">
      <c r="A244" s="8"/>
      <c r="B244" s="8"/>
    </row>
    <row r="245" ht="40.5" customHeight="1">
      <c r="A245" s="8"/>
      <c r="B245" s="8"/>
    </row>
    <row r="246" ht="40.5" customHeight="1">
      <c r="A246" s="8"/>
      <c r="B246" s="8"/>
    </row>
    <row r="247" ht="40.5" customHeight="1">
      <c r="A247" s="8"/>
      <c r="B247" s="8"/>
    </row>
    <row r="248" ht="40.5" customHeight="1">
      <c r="A248" s="8"/>
      <c r="B248" s="8"/>
    </row>
    <row r="249" ht="40.5" customHeight="1">
      <c r="A249" s="8"/>
      <c r="B249" s="8"/>
    </row>
    <row r="250" ht="40.5" customHeight="1">
      <c r="A250" s="8"/>
      <c r="B250" s="8"/>
    </row>
    <row r="251" ht="40.5" customHeight="1">
      <c r="A251" s="8"/>
      <c r="B251" s="8"/>
    </row>
    <row r="252" ht="40.5" customHeight="1">
      <c r="A252" s="8"/>
      <c r="B252" s="8"/>
    </row>
    <row r="253" ht="40.5" customHeight="1">
      <c r="A253" s="8"/>
      <c r="B253" s="8"/>
    </row>
    <row r="254" ht="40.5" customHeight="1">
      <c r="A254" s="8"/>
      <c r="B254" s="8"/>
    </row>
    <row r="255" ht="40.5" customHeight="1">
      <c r="A255" s="8"/>
      <c r="B255" s="8"/>
    </row>
    <row r="256" ht="40.5" customHeight="1">
      <c r="A256" s="8"/>
      <c r="B256" s="8"/>
    </row>
    <row r="257" ht="40.5" customHeight="1">
      <c r="A257" s="8"/>
      <c r="B257" s="8"/>
    </row>
    <row r="258" ht="40.5" customHeight="1">
      <c r="A258" s="8"/>
      <c r="B258" s="8"/>
    </row>
    <row r="259" ht="40.5" customHeight="1">
      <c r="A259" s="8"/>
      <c r="B259" s="8"/>
    </row>
    <row r="260" ht="40.5" customHeight="1">
      <c r="A260" s="8"/>
      <c r="B260" s="8"/>
    </row>
    <row r="261" ht="40.5" customHeight="1">
      <c r="A261" s="8"/>
      <c r="B261" s="8"/>
    </row>
    <row r="262" ht="40.5" customHeight="1">
      <c r="A262" s="8"/>
      <c r="B262" s="8"/>
    </row>
    <row r="263" ht="40.5" customHeight="1">
      <c r="A263" s="8"/>
      <c r="B263" s="8"/>
    </row>
    <row r="264" ht="40.5" customHeight="1">
      <c r="A264" s="8"/>
      <c r="B264" s="8"/>
    </row>
    <row r="265" ht="40.5" customHeight="1">
      <c r="A265" s="8"/>
      <c r="B265" s="8"/>
    </row>
    <row r="266" ht="40.5" customHeight="1">
      <c r="A266" s="8"/>
      <c r="B266" s="8"/>
    </row>
    <row r="267" ht="40.5" customHeight="1">
      <c r="A267" s="8"/>
      <c r="B267" s="8"/>
    </row>
    <row r="268" ht="40.5" customHeight="1">
      <c r="A268" s="8"/>
      <c r="B268" s="8"/>
    </row>
    <row r="269" ht="40.5" customHeight="1">
      <c r="A269" s="8"/>
      <c r="B269" s="8"/>
    </row>
    <row r="270" ht="40.5" customHeight="1">
      <c r="A270" s="8"/>
      <c r="B270" s="8"/>
    </row>
    <row r="271" ht="40.5" customHeight="1">
      <c r="A271" s="8"/>
      <c r="B271" s="8"/>
    </row>
    <row r="272" ht="40.5" customHeight="1">
      <c r="A272" s="8"/>
      <c r="B272" s="8"/>
    </row>
    <row r="273" ht="40.5" customHeight="1">
      <c r="A273" s="8"/>
      <c r="B273" s="8"/>
    </row>
    <row r="274" ht="40.5" customHeight="1">
      <c r="A274" s="8"/>
      <c r="B274" s="8"/>
    </row>
    <row r="275" ht="40.5" customHeight="1">
      <c r="A275" s="8"/>
      <c r="B275" s="8"/>
    </row>
    <row r="276" ht="40.5" customHeight="1">
      <c r="A276" s="8"/>
      <c r="B276" s="8"/>
    </row>
    <row r="277" ht="40.5" customHeight="1">
      <c r="A277" s="8"/>
      <c r="B277" s="8"/>
    </row>
    <row r="278" ht="40.5" customHeight="1">
      <c r="A278" s="8"/>
      <c r="B278" s="8"/>
    </row>
    <row r="279" ht="40.5" customHeight="1">
      <c r="A279" s="8"/>
      <c r="B279" s="8"/>
    </row>
    <row r="280" ht="40.5" customHeight="1">
      <c r="A280" s="8"/>
      <c r="B280" s="8"/>
    </row>
    <row r="281" ht="40.5" customHeight="1">
      <c r="A281" s="8"/>
      <c r="B281" s="8"/>
    </row>
    <row r="282" ht="40.5" customHeight="1">
      <c r="A282" s="8"/>
      <c r="B282" s="8"/>
    </row>
    <row r="283" ht="40.5" customHeight="1">
      <c r="A283" s="8"/>
      <c r="B283" s="8"/>
    </row>
    <row r="284" ht="40.5" customHeight="1">
      <c r="A284" s="8"/>
      <c r="B284" s="8"/>
    </row>
    <row r="285" ht="40.5" customHeight="1">
      <c r="A285" s="8"/>
      <c r="B285" s="8"/>
    </row>
    <row r="286" ht="40.5" customHeight="1">
      <c r="A286" s="8"/>
      <c r="B286" s="8"/>
    </row>
    <row r="287" ht="40.5" customHeight="1">
      <c r="A287" s="8"/>
      <c r="B287" s="8"/>
    </row>
    <row r="288" ht="40.5" customHeight="1">
      <c r="A288" s="8"/>
      <c r="B288" s="8"/>
    </row>
    <row r="289" ht="40.5" customHeight="1">
      <c r="A289" s="8"/>
      <c r="B289" s="8"/>
    </row>
    <row r="290" ht="40.5" customHeight="1">
      <c r="A290" s="8"/>
      <c r="B290" s="8"/>
    </row>
    <row r="291" ht="40.5" customHeight="1">
      <c r="A291" s="8"/>
      <c r="B291" s="8"/>
    </row>
    <row r="292" ht="40.5" customHeight="1">
      <c r="A292" s="8"/>
      <c r="B292" s="8"/>
    </row>
    <row r="293" ht="40.5" customHeight="1">
      <c r="A293" s="8"/>
      <c r="B293" s="8"/>
    </row>
    <row r="294" ht="40.5" customHeight="1">
      <c r="A294" s="8"/>
      <c r="B294" s="8"/>
    </row>
    <row r="295" ht="40.5" customHeight="1">
      <c r="A295" s="8"/>
      <c r="B295" s="8"/>
    </row>
    <row r="296" ht="40.5" customHeight="1">
      <c r="A296" s="8"/>
      <c r="B296" s="8"/>
    </row>
    <row r="297" ht="40.5" customHeight="1">
      <c r="A297" s="8"/>
      <c r="B297" s="8"/>
    </row>
    <row r="298" ht="40.5" customHeight="1">
      <c r="A298" s="8"/>
      <c r="B298" s="8"/>
    </row>
    <row r="299" ht="40.5" customHeight="1">
      <c r="A299" s="8"/>
      <c r="B299" s="8"/>
    </row>
    <row r="300" ht="40.5" customHeight="1">
      <c r="A300" s="8"/>
      <c r="B300" s="8"/>
    </row>
    <row r="301" ht="40.5" customHeight="1">
      <c r="A301" s="8"/>
      <c r="B301" s="8"/>
    </row>
    <row r="302" ht="40.5" customHeight="1">
      <c r="A302" s="8"/>
      <c r="B302" s="8"/>
    </row>
    <row r="303" ht="40.5" customHeight="1">
      <c r="A303" s="8"/>
      <c r="B303" s="8"/>
    </row>
    <row r="304" ht="40.5" customHeight="1">
      <c r="A304" s="8"/>
      <c r="B304" s="8"/>
    </row>
    <row r="305" ht="40.5" customHeight="1">
      <c r="A305" s="8"/>
      <c r="B305" s="8"/>
    </row>
    <row r="306" ht="40.5" customHeight="1">
      <c r="A306" s="8"/>
      <c r="B306" s="8"/>
    </row>
    <row r="307" ht="40.5" customHeight="1">
      <c r="A307" s="8"/>
      <c r="B307" s="8"/>
    </row>
    <row r="308" ht="40.5" customHeight="1">
      <c r="A308" s="8"/>
      <c r="B308" s="8"/>
    </row>
    <row r="309" ht="40.5" customHeight="1">
      <c r="A309" s="8"/>
      <c r="B309" s="8"/>
    </row>
    <row r="310" ht="40.5" customHeight="1">
      <c r="A310" s="8"/>
      <c r="B310" s="8"/>
    </row>
    <row r="311" ht="40.5" customHeight="1">
      <c r="A311" s="8"/>
      <c r="B311" s="8"/>
    </row>
    <row r="312" ht="40.5" customHeight="1">
      <c r="A312" s="8"/>
      <c r="B312" s="8"/>
    </row>
    <row r="313" ht="40.5" customHeight="1">
      <c r="A313" s="8"/>
      <c r="B313" s="8"/>
    </row>
    <row r="314" ht="40.5" customHeight="1">
      <c r="A314" s="8"/>
      <c r="B314" s="8"/>
    </row>
    <row r="315" ht="40.5" customHeight="1">
      <c r="A315" s="8"/>
      <c r="B315" s="8"/>
    </row>
    <row r="316" ht="40.5" customHeight="1">
      <c r="A316" s="8"/>
      <c r="B316" s="8"/>
    </row>
    <row r="317" ht="40.5" customHeight="1">
      <c r="A317" s="8"/>
      <c r="B317" s="8"/>
    </row>
    <row r="318" ht="40.5" customHeight="1">
      <c r="A318" s="8"/>
      <c r="B318" s="8"/>
    </row>
    <row r="319" ht="40.5" customHeight="1">
      <c r="A319" s="8"/>
      <c r="B319" s="8"/>
    </row>
    <row r="320" ht="40.5" customHeight="1">
      <c r="A320" s="8"/>
      <c r="B320" s="8"/>
    </row>
    <row r="321" ht="40.5" customHeight="1">
      <c r="A321" s="8"/>
      <c r="B321" s="8"/>
    </row>
    <row r="322" ht="40.5" customHeight="1">
      <c r="A322" s="8"/>
      <c r="B322" s="8"/>
    </row>
    <row r="323" ht="40.5" customHeight="1">
      <c r="A323" s="8"/>
      <c r="B323" s="8"/>
    </row>
    <row r="324" ht="40.5" customHeight="1">
      <c r="A324" s="8"/>
      <c r="B324" s="8"/>
    </row>
    <row r="325" ht="40.5" customHeight="1">
      <c r="A325" s="8"/>
      <c r="B325" s="8"/>
    </row>
    <row r="326" ht="40.5" customHeight="1">
      <c r="A326" s="8"/>
      <c r="B326" s="8"/>
    </row>
    <row r="327" ht="40.5" customHeight="1">
      <c r="A327" s="8"/>
      <c r="B327" s="8"/>
    </row>
    <row r="328" ht="40.5" customHeight="1">
      <c r="A328" s="8"/>
      <c r="B328" s="8"/>
    </row>
    <row r="329" ht="40.5" customHeight="1">
      <c r="A329" s="8"/>
      <c r="B329" s="8"/>
    </row>
    <row r="330" ht="40.5" customHeight="1">
      <c r="A330" s="8"/>
      <c r="B330" s="8"/>
    </row>
    <row r="331" ht="40.5" customHeight="1">
      <c r="A331" s="8"/>
      <c r="B331" s="8"/>
    </row>
    <row r="332" ht="40.5" customHeight="1">
      <c r="A332" s="8"/>
      <c r="B332" s="8"/>
    </row>
    <row r="333" ht="40.5" customHeight="1">
      <c r="A333" s="8"/>
      <c r="B333" s="8"/>
    </row>
    <row r="334" ht="40.5" customHeight="1">
      <c r="A334" s="8"/>
      <c r="B334" s="8"/>
    </row>
    <row r="335" ht="40.5" customHeight="1">
      <c r="A335" s="8"/>
      <c r="B335" s="8"/>
    </row>
    <row r="336" ht="40.5" customHeight="1">
      <c r="A336" s="8"/>
      <c r="B336" s="8"/>
    </row>
    <row r="337" ht="40.5" customHeight="1">
      <c r="A337" s="8"/>
      <c r="B337" s="8"/>
    </row>
    <row r="338" ht="40.5" customHeight="1">
      <c r="A338" s="8"/>
      <c r="B338" s="8"/>
    </row>
    <row r="339" ht="40.5" customHeight="1">
      <c r="A339" s="8"/>
      <c r="B339" s="8"/>
    </row>
    <row r="340" ht="40.5" customHeight="1">
      <c r="A340" s="8"/>
      <c r="B340" s="8"/>
    </row>
    <row r="341" ht="40.5" customHeight="1">
      <c r="A341" s="8"/>
      <c r="B341" s="8"/>
    </row>
    <row r="342" ht="40.5" customHeight="1">
      <c r="A342" s="8"/>
      <c r="B342" s="8"/>
    </row>
    <row r="343" ht="40.5" customHeight="1">
      <c r="A343" s="8"/>
      <c r="B343" s="8"/>
    </row>
    <row r="344" ht="40.5" customHeight="1">
      <c r="A344" s="8"/>
      <c r="B344" s="8"/>
    </row>
    <row r="345" ht="40.5" customHeight="1">
      <c r="A345" s="8"/>
      <c r="B345" s="8"/>
    </row>
    <row r="346" ht="40.5" customHeight="1">
      <c r="A346" s="8"/>
      <c r="B346" s="8"/>
    </row>
    <row r="347" ht="40.5" customHeight="1">
      <c r="A347" s="8"/>
      <c r="B347" s="8"/>
    </row>
    <row r="348" ht="40.5" customHeight="1">
      <c r="A348" s="8"/>
      <c r="B348" s="8"/>
    </row>
    <row r="349" ht="40.5" customHeight="1">
      <c r="A349" s="8"/>
      <c r="B349" s="8"/>
    </row>
    <row r="350" ht="40.5" customHeight="1">
      <c r="A350" s="8"/>
      <c r="B350" s="8"/>
    </row>
    <row r="351" ht="40.5" customHeight="1">
      <c r="A351" s="8"/>
      <c r="B351" s="8"/>
    </row>
    <row r="352" ht="40.5" customHeight="1">
      <c r="A352" s="8"/>
      <c r="B352" s="8"/>
    </row>
    <row r="353" ht="40.5" customHeight="1">
      <c r="A353" s="8"/>
      <c r="B353" s="8"/>
    </row>
    <row r="354" ht="40.5" customHeight="1">
      <c r="A354" s="8"/>
      <c r="B354" s="8"/>
    </row>
    <row r="355" ht="40.5" customHeight="1">
      <c r="A355" s="8"/>
      <c r="B355" s="8"/>
    </row>
    <row r="356" ht="40.5" customHeight="1">
      <c r="A356" s="8"/>
      <c r="B356" s="8"/>
    </row>
    <row r="357" ht="40.5" customHeight="1">
      <c r="A357" s="8"/>
      <c r="B357" s="8"/>
    </row>
    <row r="358" ht="40.5" customHeight="1">
      <c r="A358" s="8"/>
      <c r="B358" s="8"/>
    </row>
    <row r="359" ht="40.5" customHeight="1">
      <c r="A359" s="8"/>
      <c r="B359" s="8"/>
    </row>
    <row r="360" ht="40.5" customHeight="1">
      <c r="A360" s="8"/>
      <c r="B360" s="8"/>
    </row>
    <row r="361" ht="40.5" customHeight="1">
      <c r="A361" s="8"/>
      <c r="B361" s="8"/>
    </row>
    <row r="362" ht="40.5" customHeight="1">
      <c r="A362" s="8"/>
      <c r="B362" s="8"/>
    </row>
    <row r="363" ht="40.5" customHeight="1">
      <c r="A363" s="8"/>
      <c r="B363" s="8"/>
    </row>
    <row r="364" ht="40.5" customHeight="1">
      <c r="A364" s="8"/>
      <c r="B364" s="8"/>
    </row>
    <row r="365" ht="40.5" customHeight="1">
      <c r="A365" s="8"/>
      <c r="B365" s="8"/>
    </row>
    <row r="366" ht="40.5" customHeight="1">
      <c r="A366" s="8"/>
      <c r="B366" s="8"/>
    </row>
    <row r="367" ht="40.5" customHeight="1">
      <c r="A367" s="8"/>
      <c r="B367" s="8"/>
    </row>
    <row r="368" ht="40.5" customHeight="1">
      <c r="A368" s="8"/>
      <c r="B368" s="8"/>
    </row>
    <row r="369" ht="40.5" customHeight="1">
      <c r="A369" s="8"/>
      <c r="B369" s="8"/>
    </row>
    <row r="370" ht="40.5" customHeight="1">
      <c r="A370" s="8"/>
      <c r="B370" s="8"/>
    </row>
    <row r="371" ht="40.5" customHeight="1">
      <c r="A371" s="8"/>
      <c r="B371" s="8"/>
    </row>
    <row r="372" ht="40.5" customHeight="1">
      <c r="A372" s="8"/>
      <c r="B372" s="8"/>
    </row>
    <row r="373" ht="40.5" customHeight="1">
      <c r="A373" s="8"/>
      <c r="B373" s="8"/>
    </row>
    <row r="374" ht="40.5" customHeight="1">
      <c r="A374" s="8"/>
      <c r="B374" s="8"/>
    </row>
    <row r="375" ht="40.5" customHeight="1">
      <c r="A375" s="8"/>
      <c r="B375" s="8"/>
    </row>
    <row r="376" ht="40.5" customHeight="1">
      <c r="A376" s="8"/>
      <c r="B376" s="8"/>
    </row>
    <row r="377" ht="40.5" customHeight="1">
      <c r="A377" s="8"/>
      <c r="B377" s="8"/>
    </row>
    <row r="378" ht="40.5" customHeight="1">
      <c r="A378" s="8"/>
      <c r="B378" s="8"/>
    </row>
    <row r="379" ht="40.5" customHeight="1">
      <c r="A379" s="8"/>
      <c r="B379" s="8"/>
    </row>
    <row r="380" ht="40.5" customHeight="1">
      <c r="A380" s="8"/>
      <c r="B380" s="8"/>
    </row>
    <row r="381" ht="40.5" customHeight="1">
      <c r="A381" s="8"/>
      <c r="B381" s="8"/>
    </row>
    <row r="382" ht="40.5" customHeight="1">
      <c r="A382" s="8"/>
      <c r="B382" s="8"/>
    </row>
    <row r="383" ht="40.5" customHeight="1">
      <c r="A383" s="8"/>
      <c r="B383" s="8"/>
    </row>
    <row r="384" ht="40.5" customHeight="1">
      <c r="A384" s="8"/>
      <c r="B384" s="8"/>
    </row>
    <row r="385" ht="40.5" customHeight="1">
      <c r="A385" s="8"/>
      <c r="B385" s="8"/>
    </row>
    <row r="386" ht="40.5" customHeight="1">
      <c r="A386" s="8"/>
      <c r="B386" s="8"/>
    </row>
    <row r="387" ht="40.5" customHeight="1">
      <c r="A387" s="8"/>
      <c r="B387" s="8"/>
    </row>
    <row r="388" ht="40.5" customHeight="1">
      <c r="A388" s="8"/>
      <c r="B388" s="8"/>
    </row>
    <row r="389" ht="40.5" customHeight="1">
      <c r="A389" s="8"/>
      <c r="B389" s="8"/>
    </row>
    <row r="390" ht="40.5" customHeight="1">
      <c r="A390" s="8"/>
      <c r="B390" s="8"/>
    </row>
    <row r="391" ht="40.5" customHeight="1">
      <c r="A391" s="8"/>
      <c r="B391" s="8"/>
    </row>
    <row r="392" ht="40.5" customHeight="1">
      <c r="A392" s="8"/>
      <c r="B392" s="8"/>
    </row>
    <row r="393" ht="40.5" customHeight="1">
      <c r="A393" s="8"/>
      <c r="B393" s="8"/>
    </row>
    <row r="394" ht="40.5" customHeight="1">
      <c r="A394" s="8"/>
      <c r="B394" s="8"/>
    </row>
    <row r="395" ht="40.5" customHeight="1">
      <c r="A395" s="8"/>
      <c r="B395" s="8"/>
    </row>
    <row r="396" ht="40.5" customHeight="1">
      <c r="A396" s="8"/>
      <c r="B396" s="8"/>
    </row>
    <row r="397" ht="40.5" customHeight="1">
      <c r="A397" s="8"/>
      <c r="B397" s="8"/>
    </row>
    <row r="398" ht="40.5" customHeight="1">
      <c r="A398" s="8"/>
      <c r="B398" s="8"/>
    </row>
    <row r="399" ht="40.5" customHeight="1">
      <c r="A399" s="8"/>
      <c r="B399" s="8"/>
    </row>
    <row r="400" ht="40.5" customHeight="1">
      <c r="A400" s="8"/>
      <c r="B400" s="8"/>
    </row>
    <row r="401" ht="40.5" customHeight="1">
      <c r="A401" s="8"/>
      <c r="B401" s="8"/>
    </row>
    <row r="402" ht="40.5" customHeight="1">
      <c r="A402" s="8"/>
      <c r="B402" s="8"/>
    </row>
    <row r="403" ht="40.5" customHeight="1">
      <c r="A403" s="8"/>
      <c r="B403" s="8"/>
    </row>
    <row r="404" ht="40.5" customHeight="1">
      <c r="A404" s="8"/>
      <c r="B404" s="8"/>
    </row>
    <row r="405" ht="40.5" customHeight="1">
      <c r="A405" s="8"/>
      <c r="B405" s="8"/>
    </row>
    <row r="406" ht="40.5" customHeight="1">
      <c r="A406" s="8"/>
      <c r="B406" s="8"/>
    </row>
    <row r="407" ht="40.5" customHeight="1">
      <c r="A407" s="8"/>
      <c r="B407" s="8"/>
    </row>
    <row r="408" ht="40.5" customHeight="1">
      <c r="A408" s="8"/>
      <c r="B408" s="8"/>
    </row>
    <row r="409" ht="40.5" customHeight="1">
      <c r="A409" s="8"/>
      <c r="B409" s="8"/>
    </row>
    <row r="410" ht="40.5" customHeight="1">
      <c r="A410" s="8"/>
      <c r="B410" s="8"/>
    </row>
    <row r="411" ht="40.5" customHeight="1">
      <c r="A411" s="8"/>
      <c r="B411" s="8"/>
    </row>
    <row r="412" ht="40.5" customHeight="1">
      <c r="A412" s="8"/>
      <c r="B412" s="8"/>
    </row>
    <row r="413" ht="40.5" customHeight="1">
      <c r="A413" s="8"/>
      <c r="B413" s="8"/>
    </row>
    <row r="414" ht="40.5" customHeight="1">
      <c r="A414" s="8"/>
      <c r="B414" s="8"/>
    </row>
    <row r="415" ht="40.5" customHeight="1">
      <c r="A415" s="8"/>
      <c r="B415" s="8"/>
    </row>
    <row r="416" ht="40.5" customHeight="1">
      <c r="A416" s="8"/>
      <c r="B416" s="8"/>
    </row>
    <row r="417" ht="40.5" customHeight="1">
      <c r="A417" s="8"/>
      <c r="B417" s="8"/>
    </row>
    <row r="418" ht="40.5" customHeight="1">
      <c r="A418" s="8"/>
      <c r="B418" s="8"/>
    </row>
    <row r="419" ht="40.5" customHeight="1">
      <c r="A419" s="8"/>
      <c r="B419" s="8"/>
    </row>
    <row r="420" ht="40.5" customHeight="1">
      <c r="A420" s="8"/>
      <c r="B420" s="8"/>
    </row>
    <row r="421" ht="40.5" customHeight="1">
      <c r="A421" s="8"/>
      <c r="B421" s="8"/>
    </row>
    <row r="422" ht="40.5" customHeight="1">
      <c r="A422" s="8"/>
      <c r="B422" s="8"/>
    </row>
    <row r="423" ht="40.5" customHeight="1">
      <c r="A423" s="8"/>
      <c r="B423" s="8"/>
    </row>
    <row r="424" ht="40.5" customHeight="1">
      <c r="A424" s="8"/>
      <c r="B424" s="8"/>
    </row>
    <row r="425" ht="40.5" customHeight="1">
      <c r="A425" s="8"/>
      <c r="B425" s="8"/>
    </row>
    <row r="426" ht="40.5" customHeight="1">
      <c r="A426" s="8"/>
      <c r="B426" s="8"/>
    </row>
    <row r="427" ht="40.5" customHeight="1">
      <c r="A427" s="8"/>
      <c r="B427" s="8"/>
    </row>
    <row r="428" ht="40.5" customHeight="1">
      <c r="A428" s="8"/>
      <c r="B428" s="8"/>
    </row>
    <row r="429" ht="40.5" customHeight="1">
      <c r="A429" s="8"/>
      <c r="B429" s="8"/>
    </row>
    <row r="430" ht="40.5" customHeight="1">
      <c r="A430" s="8"/>
      <c r="B430" s="8"/>
    </row>
    <row r="431" ht="40.5" customHeight="1">
      <c r="A431" s="8"/>
      <c r="B431" s="8"/>
    </row>
    <row r="432" ht="40.5" customHeight="1">
      <c r="A432" s="8"/>
      <c r="B432" s="8"/>
    </row>
    <row r="433" ht="40.5" customHeight="1">
      <c r="A433" s="8"/>
      <c r="B433" s="8"/>
    </row>
    <row r="434" ht="40.5" customHeight="1">
      <c r="A434" s="8"/>
      <c r="B434" s="8"/>
    </row>
    <row r="435" ht="40.5" customHeight="1">
      <c r="A435" s="8"/>
      <c r="B435" s="8"/>
    </row>
    <row r="436" ht="40.5" customHeight="1">
      <c r="A436" s="8"/>
      <c r="B436" s="8"/>
    </row>
    <row r="437" ht="40.5" customHeight="1">
      <c r="A437" s="8"/>
      <c r="B437" s="8"/>
    </row>
    <row r="438" ht="40.5" customHeight="1">
      <c r="A438" s="8"/>
      <c r="B438" s="8"/>
    </row>
    <row r="439" ht="40.5" customHeight="1">
      <c r="A439" s="8"/>
      <c r="B439" s="8"/>
    </row>
    <row r="440" ht="40.5" customHeight="1">
      <c r="A440" s="8"/>
      <c r="B440" s="8"/>
    </row>
    <row r="441" ht="40.5" customHeight="1">
      <c r="A441" s="8"/>
      <c r="B441" s="8"/>
    </row>
    <row r="442" ht="40.5" customHeight="1">
      <c r="A442" s="8"/>
      <c r="B442" s="8"/>
    </row>
    <row r="443" ht="40.5" customHeight="1">
      <c r="A443" s="8"/>
      <c r="B443" s="8"/>
    </row>
    <row r="444" ht="40.5" customHeight="1">
      <c r="A444" s="8"/>
      <c r="B444" s="8"/>
    </row>
    <row r="445" ht="40.5" customHeight="1">
      <c r="A445" s="8"/>
      <c r="B445" s="8"/>
    </row>
    <row r="446" ht="40.5" customHeight="1">
      <c r="A446" s="8"/>
      <c r="B446" s="8"/>
    </row>
    <row r="447" ht="40.5" customHeight="1">
      <c r="A447" s="8"/>
      <c r="B447" s="8"/>
    </row>
    <row r="448" ht="40.5" customHeight="1">
      <c r="A448" s="8"/>
      <c r="B448" s="8"/>
    </row>
    <row r="449" ht="40.5" customHeight="1">
      <c r="A449" s="8"/>
      <c r="B449" s="8"/>
    </row>
    <row r="450" ht="40.5" customHeight="1">
      <c r="A450" s="8"/>
      <c r="B450" s="8"/>
    </row>
    <row r="451" ht="40.5" customHeight="1">
      <c r="A451" s="8"/>
      <c r="B451" s="8"/>
    </row>
    <row r="452" ht="40.5" customHeight="1">
      <c r="A452" s="8"/>
      <c r="B452" s="8"/>
    </row>
    <row r="453" ht="40.5" customHeight="1">
      <c r="A453" s="8"/>
      <c r="B453" s="8"/>
    </row>
    <row r="454" ht="40.5" customHeight="1">
      <c r="A454" s="8"/>
      <c r="B454" s="8"/>
    </row>
    <row r="455" ht="40.5" customHeight="1">
      <c r="A455" s="8"/>
      <c r="B455" s="8"/>
    </row>
    <row r="456" ht="40.5" customHeight="1">
      <c r="A456" s="8"/>
      <c r="B456" s="8"/>
    </row>
    <row r="457" ht="40.5" customHeight="1">
      <c r="A457" s="8"/>
      <c r="B457" s="8"/>
    </row>
    <row r="458" ht="40.5" customHeight="1">
      <c r="A458" s="8"/>
      <c r="B458" s="8"/>
    </row>
    <row r="459" ht="40.5" customHeight="1">
      <c r="A459" s="8"/>
      <c r="B459" s="8"/>
    </row>
    <row r="460" ht="40.5" customHeight="1">
      <c r="A460" s="8"/>
      <c r="B460" s="8"/>
    </row>
    <row r="461" ht="40.5" customHeight="1">
      <c r="A461" s="8"/>
      <c r="B461" s="8"/>
    </row>
    <row r="462" ht="40.5" customHeight="1">
      <c r="A462" s="8"/>
      <c r="B462" s="8"/>
    </row>
    <row r="463" ht="40.5" customHeight="1">
      <c r="A463" s="8"/>
      <c r="B463" s="8"/>
    </row>
    <row r="464" ht="40.5" customHeight="1">
      <c r="A464" s="8"/>
      <c r="B464" s="8"/>
    </row>
    <row r="465" ht="40.5" customHeight="1">
      <c r="A465" s="8"/>
      <c r="B465" s="8"/>
    </row>
    <row r="466" ht="40.5" customHeight="1">
      <c r="A466" s="8"/>
      <c r="B466" s="8"/>
    </row>
    <row r="467" ht="40.5" customHeight="1">
      <c r="A467" s="8"/>
      <c r="B467" s="8"/>
    </row>
    <row r="468" ht="40.5" customHeight="1">
      <c r="A468" s="8"/>
      <c r="B468" s="8"/>
    </row>
    <row r="469" ht="40.5" customHeight="1">
      <c r="A469" s="8"/>
      <c r="B469" s="8"/>
    </row>
    <row r="470" ht="40.5" customHeight="1">
      <c r="A470" s="8"/>
      <c r="B470" s="8"/>
    </row>
    <row r="471" ht="40.5" customHeight="1">
      <c r="A471" s="8"/>
      <c r="B471" s="8"/>
    </row>
    <row r="472" ht="40.5" customHeight="1">
      <c r="A472" s="8"/>
      <c r="B472" s="8"/>
    </row>
    <row r="473" ht="40.5" customHeight="1">
      <c r="A473" s="8"/>
      <c r="B473" s="8"/>
    </row>
    <row r="474" ht="40.5" customHeight="1">
      <c r="A474" s="8"/>
      <c r="B474" s="8"/>
    </row>
    <row r="475" ht="40.5" customHeight="1">
      <c r="A475" s="8"/>
      <c r="B475" s="8"/>
    </row>
    <row r="476" ht="40.5" customHeight="1">
      <c r="A476" s="8"/>
      <c r="B476" s="8"/>
    </row>
    <row r="477" ht="40.5" customHeight="1">
      <c r="A477" s="8"/>
      <c r="B477" s="8"/>
    </row>
    <row r="478" ht="40.5" customHeight="1">
      <c r="A478" s="8"/>
      <c r="B478" s="8"/>
    </row>
    <row r="479" ht="40.5" customHeight="1">
      <c r="A479" s="8"/>
      <c r="B479" s="8"/>
    </row>
    <row r="480" ht="40.5" customHeight="1">
      <c r="A480" s="8"/>
      <c r="B480" s="8"/>
    </row>
    <row r="481" ht="40.5" customHeight="1">
      <c r="A481" s="8"/>
      <c r="B481" s="8"/>
    </row>
    <row r="482" ht="40.5" customHeight="1">
      <c r="A482" s="8"/>
      <c r="B482" s="8"/>
    </row>
    <row r="483" ht="40.5" customHeight="1">
      <c r="A483" s="8"/>
      <c r="B483" s="8"/>
    </row>
    <row r="484" ht="40.5" customHeight="1">
      <c r="A484" s="8"/>
      <c r="B484" s="8"/>
    </row>
    <row r="485" ht="40.5" customHeight="1">
      <c r="A485" s="8"/>
      <c r="B485" s="8"/>
    </row>
    <row r="486" ht="40.5" customHeight="1">
      <c r="A486" s="8"/>
      <c r="B486" s="8"/>
    </row>
    <row r="487" ht="40.5" customHeight="1">
      <c r="A487" s="8"/>
      <c r="B487" s="8"/>
    </row>
    <row r="488" ht="40.5" customHeight="1">
      <c r="A488" s="8"/>
      <c r="B488" s="8"/>
    </row>
    <row r="489" ht="40.5" customHeight="1">
      <c r="A489" s="8"/>
      <c r="B489" s="8"/>
    </row>
    <row r="490" ht="40.5" customHeight="1">
      <c r="A490" s="8"/>
      <c r="B490" s="8"/>
    </row>
    <row r="491" ht="40.5" customHeight="1">
      <c r="A491" s="8"/>
      <c r="B491" s="8"/>
    </row>
    <row r="492" ht="40.5" customHeight="1">
      <c r="A492" s="8"/>
      <c r="B492" s="8"/>
    </row>
    <row r="493" ht="40.5" customHeight="1">
      <c r="A493" s="8"/>
      <c r="B493" s="8"/>
    </row>
    <row r="494" ht="40.5" customHeight="1">
      <c r="A494" s="8"/>
      <c r="B494" s="8"/>
    </row>
    <row r="495" ht="40.5" customHeight="1">
      <c r="A495" s="8"/>
      <c r="B495" s="8"/>
    </row>
    <row r="496" ht="40.5" customHeight="1">
      <c r="A496" s="8"/>
      <c r="B496" s="8"/>
    </row>
    <row r="497" ht="40.5" customHeight="1">
      <c r="A497" s="8"/>
      <c r="B497" s="8"/>
    </row>
    <row r="498" ht="40.5" customHeight="1">
      <c r="A498" s="8"/>
      <c r="B498" s="8"/>
    </row>
    <row r="499" ht="40.5" customHeight="1">
      <c r="A499" s="8"/>
      <c r="B499" s="8"/>
    </row>
    <row r="500" ht="40.5" customHeight="1">
      <c r="A500" s="8"/>
      <c r="B500" s="8"/>
    </row>
    <row r="501" ht="40.5" customHeight="1">
      <c r="A501" s="8"/>
      <c r="B501" s="8"/>
    </row>
    <row r="502" ht="40.5" customHeight="1">
      <c r="A502" s="8"/>
      <c r="B502" s="8"/>
    </row>
    <row r="503" ht="40.5" customHeight="1">
      <c r="A503" s="8"/>
      <c r="B503" s="8"/>
    </row>
    <row r="504" ht="40.5" customHeight="1">
      <c r="A504" s="8"/>
      <c r="B504" s="8"/>
    </row>
    <row r="505" ht="40.5" customHeight="1">
      <c r="A505" s="8"/>
      <c r="B505" s="8"/>
    </row>
    <row r="506" ht="40.5" customHeight="1">
      <c r="A506" s="8"/>
      <c r="B506" s="8"/>
    </row>
    <row r="507" ht="40.5" customHeight="1">
      <c r="A507" s="8"/>
      <c r="B507" s="8"/>
    </row>
    <row r="508" ht="40.5" customHeight="1">
      <c r="A508" s="8"/>
      <c r="B508" s="8"/>
    </row>
    <row r="509" ht="40.5" customHeight="1">
      <c r="A509" s="8"/>
      <c r="B509" s="8"/>
    </row>
    <row r="510" ht="40.5" customHeight="1">
      <c r="A510" s="8"/>
      <c r="B510" s="8"/>
    </row>
    <row r="511" ht="40.5" customHeight="1">
      <c r="A511" s="8"/>
      <c r="B511" s="8"/>
    </row>
    <row r="512" ht="40.5" customHeight="1">
      <c r="A512" s="8"/>
      <c r="B512" s="8"/>
    </row>
    <row r="513" ht="40.5" customHeight="1">
      <c r="A513" s="8"/>
      <c r="B513" s="8"/>
    </row>
    <row r="514" ht="40.5" customHeight="1">
      <c r="A514" s="8"/>
      <c r="B514" s="8"/>
    </row>
    <row r="515" ht="40.5" customHeight="1">
      <c r="A515" s="8"/>
      <c r="B515" s="8"/>
    </row>
    <row r="516" ht="40.5" customHeight="1">
      <c r="A516" s="8"/>
      <c r="B516" s="8"/>
    </row>
    <row r="517" ht="40.5" customHeight="1">
      <c r="A517" s="8"/>
      <c r="B517" s="8"/>
    </row>
    <row r="518" ht="40.5" customHeight="1">
      <c r="A518" s="8"/>
      <c r="B518" s="8"/>
    </row>
    <row r="519" ht="40.5" customHeight="1">
      <c r="A519" s="8"/>
      <c r="B519" s="8"/>
    </row>
    <row r="520" ht="40.5" customHeight="1">
      <c r="A520" s="8"/>
      <c r="B520" s="8"/>
    </row>
    <row r="521" ht="40.5" customHeight="1">
      <c r="A521" s="8"/>
      <c r="B521" s="8"/>
    </row>
    <row r="522" ht="40.5" customHeight="1">
      <c r="A522" s="8"/>
      <c r="B522" s="8"/>
    </row>
    <row r="523" ht="40.5" customHeight="1">
      <c r="A523" s="8"/>
      <c r="B523" s="8"/>
    </row>
    <row r="524" ht="40.5" customHeight="1">
      <c r="A524" s="8"/>
      <c r="B524" s="8"/>
    </row>
    <row r="525" ht="40.5" customHeight="1">
      <c r="A525" s="8"/>
      <c r="B525" s="8"/>
    </row>
    <row r="526" ht="40.5" customHeight="1">
      <c r="A526" s="8"/>
      <c r="B526" s="8"/>
    </row>
    <row r="527" ht="40.5" customHeight="1">
      <c r="A527" s="8"/>
      <c r="B527" s="8"/>
    </row>
    <row r="528" ht="40.5" customHeight="1">
      <c r="A528" s="8"/>
      <c r="B528" s="8"/>
    </row>
    <row r="529" ht="40.5" customHeight="1">
      <c r="A529" s="8"/>
      <c r="B529" s="8"/>
    </row>
    <row r="530" ht="40.5" customHeight="1">
      <c r="A530" s="8"/>
      <c r="B530" s="8"/>
    </row>
    <row r="531" ht="40.5" customHeight="1">
      <c r="A531" s="8"/>
      <c r="B531" s="8"/>
    </row>
    <row r="532" ht="40.5" customHeight="1">
      <c r="A532" s="8"/>
      <c r="B532" s="8"/>
    </row>
    <row r="533" ht="40.5" customHeight="1">
      <c r="A533" s="8"/>
      <c r="B533" s="8"/>
    </row>
    <row r="534" ht="40.5" customHeight="1">
      <c r="A534" s="8"/>
      <c r="B534" s="8"/>
    </row>
    <row r="535" ht="40.5" customHeight="1">
      <c r="A535" s="8"/>
      <c r="B535" s="8"/>
    </row>
    <row r="536" ht="40.5" customHeight="1">
      <c r="A536" s="8"/>
      <c r="B536" s="8"/>
    </row>
    <row r="537" ht="40.5" customHeight="1">
      <c r="A537" s="8"/>
      <c r="B537" s="8"/>
    </row>
    <row r="538" ht="40.5" customHeight="1">
      <c r="A538" s="8"/>
      <c r="B538" s="8"/>
    </row>
    <row r="539" ht="40.5" customHeight="1">
      <c r="A539" s="8"/>
      <c r="B539" s="8"/>
    </row>
    <row r="540" ht="40.5" customHeight="1">
      <c r="A540" s="8"/>
      <c r="B540" s="8"/>
    </row>
    <row r="541" ht="40.5" customHeight="1">
      <c r="A541" s="8"/>
      <c r="B541" s="8"/>
    </row>
    <row r="542" ht="40.5" customHeight="1">
      <c r="A542" s="8"/>
      <c r="B542" s="8"/>
    </row>
    <row r="543" ht="40.5" customHeight="1">
      <c r="A543" s="8"/>
      <c r="B543" s="8"/>
    </row>
    <row r="544" ht="40.5" customHeight="1">
      <c r="A544" s="8"/>
      <c r="B544" s="8"/>
    </row>
    <row r="545" ht="40.5" customHeight="1">
      <c r="A545" s="8"/>
      <c r="B545" s="8"/>
    </row>
    <row r="546" ht="40.5" customHeight="1">
      <c r="A546" s="8"/>
      <c r="B546" s="8"/>
    </row>
    <row r="547" ht="40.5" customHeight="1">
      <c r="A547" s="8"/>
      <c r="B547" s="8"/>
    </row>
    <row r="548" ht="40.5" customHeight="1">
      <c r="A548" s="8"/>
      <c r="B548" s="8"/>
    </row>
    <row r="549" ht="40.5" customHeight="1">
      <c r="A549" s="8"/>
      <c r="B549" s="8"/>
    </row>
    <row r="550" ht="40.5" customHeight="1">
      <c r="A550" s="8"/>
      <c r="B550" s="8"/>
    </row>
    <row r="551" ht="40.5" customHeight="1">
      <c r="A551" s="8"/>
      <c r="B551" s="8"/>
    </row>
    <row r="552" ht="40.5" customHeight="1">
      <c r="A552" s="8"/>
      <c r="B552" s="8"/>
    </row>
    <row r="553" ht="40.5" customHeight="1">
      <c r="A553" s="8"/>
      <c r="B553" s="8"/>
    </row>
    <row r="554" ht="40.5" customHeight="1">
      <c r="A554" s="8"/>
      <c r="B554" s="8"/>
    </row>
    <row r="555" ht="40.5" customHeight="1">
      <c r="A555" s="8"/>
      <c r="B555" s="8"/>
    </row>
    <row r="556" ht="40.5" customHeight="1">
      <c r="A556" s="8"/>
      <c r="B556" s="8"/>
    </row>
    <row r="557" ht="40.5" customHeight="1">
      <c r="A557" s="8"/>
      <c r="B557" s="8"/>
    </row>
    <row r="558" ht="40.5" customHeight="1">
      <c r="A558" s="8"/>
      <c r="B558" s="8"/>
    </row>
    <row r="559" ht="40.5" customHeight="1">
      <c r="A559" s="8"/>
      <c r="B559" s="8"/>
    </row>
    <row r="560" ht="40.5" customHeight="1">
      <c r="A560" s="8"/>
      <c r="B560" s="8"/>
    </row>
    <row r="561" ht="40.5" customHeight="1">
      <c r="A561" s="8"/>
      <c r="B561" s="8"/>
    </row>
    <row r="562" ht="40.5" customHeight="1">
      <c r="A562" s="8"/>
      <c r="B562" s="8"/>
    </row>
    <row r="563" ht="40.5" customHeight="1">
      <c r="A563" s="8"/>
      <c r="B563" s="8"/>
    </row>
    <row r="564" ht="40.5" customHeight="1">
      <c r="A564" s="8"/>
      <c r="B564" s="8"/>
    </row>
    <row r="565" ht="40.5" customHeight="1">
      <c r="A565" s="8"/>
      <c r="B565" s="8"/>
    </row>
    <row r="566" ht="40.5" customHeight="1">
      <c r="A566" s="8"/>
      <c r="B566" s="8"/>
    </row>
    <row r="567" ht="40.5" customHeight="1">
      <c r="A567" s="8"/>
      <c r="B567" s="8"/>
    </row>
    <row r="568" ht="40.5" customHeight="1">
      <c r="A568" s="8"/>
      <c r="B568" s="8"/>
    </row>
    <row r="569" ht="40.5" customHeight="1">
      <c r="A569" s="8"/>
      <c r="B569" s="8"/>
    </row>
    <row r="570" ht="40.5" customHeight="1">
      <c r="A570" s="8"/>
      <c r="B570" s="8"/>
    </row>
    <row r="571" ht="40.5" customHeight="1">
      <c r="A571" s="8"/>
      <c r="B571" s="8"/>
    </row>
    <row r="572" ht="40.5" customHeight="1">
      <c r="A572" s="8"/>
      <c r="B572" s="8"/>
    </row>
    <row r="573" ht="40.5" customHeight="1">
      <c r="A573" s="8"/>
      <c r="B573" s="8"/>
    </row>
    <row r="574" ht="40.5" customHeight="1">
      <c r="A574" s="8"/>
      <c r="B574" s="8"/>
    </row>
    <row r="575" ht="40.5" customHeight="1">
      <c r="A575" s="8"/>
      <c r="B575" s="8"/>
    </row>
    <row r="576" ht="40.5" customHeight="1">
      <c r="A576" s="8"/>
      <c r="B576" s="8"/>
    </row>
    <row r="577" ht="40.5" customHeight="1">
      <c r="A577" s="8"/>
      <c r="B577" s="8"/>
    </row>
    <row r="578" ht="40.5" customHeight="1">
      <c r="A578" s="8"/>
      <c r="B578" s="8"/>
    </row>
    <row r="579" ht="40.5" customHeight="1">
      <c r="A579" s="8"/>
      <c r="B579" s="8"/>
    </row>
    <row r="580" ht="40.5" customHeight="1">
      <c r="A580" s="8"/>
      <c r="B580" s="8"/>
    </row>
    <row r="581" ht="40.5" customHeight="1">
      <c r="A581" s="8"/>
      <c r="B581" s="8"/>
    </row>
    <row r="582" ht="40.5" customHeight="1">
      <c r="A582" s="8"/>
      <c r="B582" s="8"/>
    </row>
    <row r="583" ht="40.5" customHeight="1">
      <c r="A583" s="8"/>
      <c r="B583" s="8"/>
    </row>
    <row r="584" ht="40.5" customHeight="1">
      <c r="A584" s="8"/>
      <c r="B584" s="8"/>
    </row>
    <row r="585" ht="40.5" customHeight="1">
      <c r="A585" s="8"/>
      <c r="B585" s="8"/>
    </row>
    <row r="586" ht="40.5" customHeight="1">
      <c r="A586" s="8"/>
      <c r="B586" s="8"/>
    </row>
    <row r="587" ht="40.5" customHeight="1">
      <c r="A587" s="8"/>
      <c r="B587" s="8"/>
    </row>
    <row r="588" ht="40.5" customHeight="1">
      <c r="A588" s="8"/>
      <c r="B588" s="8"/>
    </row>
    <row r="589" ht="40.5" customHeight="1">
      <c r="A589" s="8"/>
      <c r="B589" s="8"/>
    </row>
    <row r="590" ht="40.5" customHeight="1">
      <c r="A590" s="8"/>
      <c r="B590" s="8"/>
    </row>
    <row r="591" ht="40.5" customHeight="1">
      <c r="A591" s="8"/>
      <c r="B591" s="8"/>
    </row>
    <row r="592" ht="40.5" customHeight="1">
      <c r="A592" s="8"/>
      <c r="B592" s="8"/>
    </row>
    <row r="593" ht="40.5" customHeight="1">
      <c r="A593" s="8"/>
      <c r="B593" s="8"/>
    </row>
    <row r="594" ht="40.5" customHeight="1">
      <c r="A594" s="8"/>
      <c r="B594" s="8"/>
    </row>
    <row r="595" ht="40.5" customHeight="1">
      <c r="A595" s="8"/>
      <c r="B595" s="8"/>
    </row>
    <row r="596" ht="40.5" customHeight="1">
      <c r="A596" s="8"/>
      <c r="B596" s="8"/>
    </row>
    <row r="597" ht="40.5" customHeight="1">
      <c r="A597" s="8"/>
      <c r="B597" s="8"/>
    </row>
    <row r="598" ht="40.5" customHeight="1">
      <c r="A598" s="8"/>
      <c r="B598" s="8"/>
    </row>
    <row r="599" ht="40.5" customHeight="1">
      <c r="A599" s="8"/>
      <c r="B599" s="8"/>
    </row>
    <row r="600" ht="40.5" customHeight="1">
      <c r="A600" s="8"/>
      <c r="B600" s="8"/>
    </row>
    <row r="601" ht="40.5" customHeight="1">
      <c r="A601" s="8"/>
      <c r="B601" s="8"/>
    </row>
    <row r="602" ht="40.5" customHeight="1">
      <c r="A602" s="8"/>
      <c r="B602" s="8"/>
    </row>
    <row r="603" ht="40.5" customHeight="1">
      <c r="A603" s="8"/>
      <c r="B603" s="8"/>
    </row>
    <row r="604" ht="40.5" customHeight="1">
      <c r="A604" s="8"/>
      <c r="B604" s="8"/>
    </row>
    <row r="605" ht="40.5" customHeight="1">
      <c r="A605" s="8"/>
      <c r="B605" s="8"/>
    </row>
    <row r="606" ht="40.5" customHeight="1">
      <c r="A606" s="8"/>
      <c r="B606" s="8"/>
    </row>
    <row r="607" ht="40.5" customHeight="1">
      <c r="A607" s="8"/>
      <c r="B607" s="8"/>
    </row>
    <row r="608" ht="40.5" customHeight="1">
      <c r="A608" s="8"/>
      <c r="B608" s="8"/>
    </row>
    <row r="609" ht="40.5" customHeight="1">
      <c r="A609" s="8"/>
      <c r="B609" s="8"/>
    </row>
    <row r="610" ht="40.5" customHeight="1">
      <c r="A610" s="8"/>
      <c r="B610" s="8"/>
    </row>
    <row r="611" ht="40.5" customHeight="1">
      <c r="A611" s="8"/>
      <c r="B611" s="8"/>
    </row>
    <row r="612" ht="40.5" customHeight="1">
      <c r="A612" s="8"/>
      <c r="B612" s="8"/>
    </row>
    <row r="613" ht="40.5" customHeight="1">
      <c r="A613" s="8"/>
      <c r="B613" s="8"/>
    </row>
    <row r="614" ht="40.5" customHeight="1">
      <c r="A614" s="8"/>
      <c r="B614" s="8"/>
    </row>
    <row r="615" ht="40.5" customHeight="1">
      <c r="A615" s="8"/>
      <c r="B615" s="8"/>
    </row>
    <row r="616" ht="40.5" customHeight="1">
      <c r="A616" s="8"/>
      <c r="B616" s="8"/>
    </row>
    <row r="617" ht="40.5" customHeight="1">
      <c r="A617" s="8"/>
      <c r="B617" s="8"/>
    </row>
    <row r="618" ht="40.5" customHeight="1">
      <c r="A618" s="8"/>
      <c r="B618" s="8"/>
    </row>
    <row r="619" ht="40.5" customHeight="1">
      <c r="A619" s="8"/>
      <c r="B619" s="8"/>
    </row>
    <row r="620" ht="40.5" customHeight="1">
      <c r="A620" s="8"/>
      <c r="B620" s="8"/>
    </row>
    <row r="621" ht="40.5" customHeight="1">
      <c r="A621" s="8"/>
      <c r="B621" s="8"/>
    </row>
    <row r="622" ht="40.5" customHeight="1">
      <c r="A622" s="8"/>
      <c r="B622" s="8"/>
    </row>
    <row r="623" ht="40.5" customHeight="1">
      <c r="A623" s="8"/>
      <c r="B623" s="8"/>
    </row>
    <row r="624" ht="40.5" customHeight="1">
      <c r="A624" s="8"/>
      <c r="B624" s="8"/>
    </row>
    <row r="625" ht="40.5" customHeight="1">
      <c r="A625" s="8"/>
      <c r="B625" s="8"/>
    </row>
    <row r="626" ht="40.5" customHeight="1">
      <c r="A626" s="8"/>
      <c r="B626" s="8"/>
    </row>
    <row r="627" ht="40.5" customHeight="1">
      <c r="A627" s="8"/>
      <c r="B627" s="8"/>
    </row>
    <row r="628" ht="40.5" customHeight="1">
      <c r="A628" s="8"/>
      <c r="B628" s="8"/>
    </row>
    <row r="629" ht="40.5" customHeight="1">
      <c r="A629" s="8"/>
      <c r="B629" s="8"/>
    </row>
    <row r="630" ht="40.5" customHeight="1">
      <c r="A630" s="8"/>
      <c r="B630" s="8"/>
    </row>
    <row r="631" ht="40.5" customHeight="1">
      <c r="A631" s="8"/>
      <c r="B631" s="8"/>
    </row>
    <row r="632" ht="40.5" customHeight="1">
      <c r="A632" s="8"/>
      <c r="B632" s="8"/>
    </row>
    <row r="633" ht="40.5" customHeight="1">
      <c r="A633" s="8"/>
      <c r="B633" s="8"/>
    </row>
    <row r="634" ht="40.5" customHeight="1">
      <c r="A634" s="8"/>
      <c r="B634" s="8"/>
    </row>
    <row r="635" ht="40.5" customHeight="1">
      <c r="A635" s="8"/>
      <c r="B635" s="8"/>
    </row>
    <row r="636" ht="40.5" customHeight="1">
      <c r="A636" s="8"/>
      <c r="B636" s="8"/>
    </row>
    <row r="637" ht="40.5" customHeight="1">
      <c r="A637" s="8"/>
      <c r="B637" s="8"/>
    </row>
    <row r="638" ht="40.5" customHeight="1">
      <c r="A638" s="8"/>
      <c r="B638" s="8"/>
    </row>
    <row r="639" ht="40.5" customHeight="1">
      <c r="A639" s="8"/>
      <c r="B639" s="8"/>
    </row>
    <row r="640" ht="40.5" customHeight="1">
      <c r="A640" s="8"/>
      <c r="B640" s="8"/>
    </row>
    <row r="641" ht="40.5" customHeight="1">
      <c r="A641" s="8"/>
      <c r="B641" s="8"/>
    </row>
    <row r="642" ht="40.5" customHeight="1">
      <c r="A642" s="8"/>
      <c r="B642" s="8"/>
    </row>
    <row r="643" ht="40.5" customHeight="1">
      <c r="A643" s="8"/>
      <c r="B643" s="8"/>
    </row>
    <row r="644" ht="40.5" customHeight="1">
      <c r="A644" s="8"/>
      <c r="B644" s="8"/>
    </row>
    <row r="645" ht="40.5" customHeight="1">
      <c r="A645" s="8"/>
      <c r="B645" s="8"/>
    </row>
    <row r="646" ht="40.5" customHeight="1">
      <c r="A646" s="8"/>
      <c r="B646" s="8"/>
    </row>
    <row r="647" ht="40.5" customHeight="1">
      <c r="A647" s="8"/>
      <c r="B647" s="8"/>
    </row>
    <row r="648" ht="40.5" customHeight="1">
      <c r="A648" s="8"/>
      <c r="B648" s="8"/>
    </row>
    <row r="649" ht="40.5" customHeight="1">
      <c r="A649" s="8"/>
      <c r="B649" s="8"/>
    </row>
    <row r="650" ht="40.5" customHeight="1">
      <c r="A650" s="8"/>
      <c r="B650" s="8"/>
    </row>
    <row r="651" ht="40.5" customHeight="1">
      <c r="A651" s="8"/>
      <c r="B651" s="8"/>
    </row>
    <row r="652" ht="40.5" customHeight="1">
      <c r="A652" s="8"/>
      <c r="B652" s="8"/>
    </row>
    <row r="653" ht="40.5" customHeight="1">
      <c r="A653" s="8"/>
      <c r="B653" s="8"/>
    </row>
    <row r="654" ht="40.5" customHeight="1">
      <c r="A654" s="8"/>
      <c r="B654" s="8"/>
    </row>
    <row r="655" ht="40.5" customHeight="1">
      <c r="A655" s="8"/>
      <c r="B655" s="8"/>
    </row>
    <row r="656" ht="40.5" customHeight="1">
      <c r="A656" s="8"/>
      <c r="B656" s="8"/>
    </row>
    <row r="657" ht="40.5" customHeight="1">
      <c r="A657" s="8"/>
      <c r="B657" s="8"/>
    </row>
    <row r="658" ht="40.5" customHeight="1">
      <c r="A658" s="8"/>
      <c r="B658" s="8"/>
    </row>
    <row r="659" ht="40.5" customHeight="1">
      <c r="A659" s="8"/>
      <c r="B659" s="8"/>
    </row>
    <row r="660" ht="40.5" customHeight="1">
      <c r="A660" s="8"/>
      <c r="B660" s="8"/>
    </row>
    <row r="661" ht="40.5" customHeight="1">
      <c r="A661" s="8"/>
      <c r="B661" s="8"/>
    </row>
    <row r="662" ht="40.5" customHeight="1">
      <c r="A662" s="8"/>
      <c r="B662" s="8"/>
    </row>
    <row r="663" ht="40.5" customHeight="1">
      <c r="A663" s="8"/>
      <c r="B663" s="8"/>
    </row>
    <row r="664" ht="40.5" customHeight="1">
      <c r="A664" s="8"/>
      <c r="B664" s="8"/>
    </row>
    <row r="665" ht="40.5" customHeight="1">
      <c r="A665" s="8"/>
      <c r="B665" s="8"/>
    </row>
    <row r="666" ht="40.5" customHeight="1">
      <c r="A666" s="8"/>
      <c r="B666" s="8"/>
    </row>
    <row r="667" ht="40.5" customHeight="1">
      <c r="A667" s="8"/>
      <c r="B667" s="8"/>
    </row>
    <row r="668" ht="40.5" customHeight="1">
      <c r="A668" s="8"/>
      <c r="B668" s="8"/>
    </row>
    <row r="669" ht="40.5" customHeight="1">
      <c r="A669" s="8"/>
      <c r="B669" s="8"/>
    </row>
    <row r="670" ht="40.5" customHeight="1">
      <c r="A670" s="8"/>
      <c r="B670" s="8"/>
    </row>
    <row r="671" ht="40.5" customHeight="1">
      <c r="A671" s="8"/>
      <c r="B671" s="8"/>
    </row>
    <row r="672" ht="40.5" customHeight="1">
      <c r="A672" s="8"/>
      <c r="B672" s="8"/>
    </row>
    <row r="673" ht="40.5" customHeight="1">
      <c r="A673" s="8"/>
      <c r="B673" s="8"/>
    </row>
    <row r="674" ht="40.5" customHeight="1">
      <c r="A674" s="8"/>
      <c r="B674" s="8"/>
    </row>
    <row r="675" ht="40.5" customHeight="1">
      <c r="A675" s="8"/>
      <c r="B675" s="8"/>
    </row>
    <row r="676" ht="40.5" customHeight="1">
      <c r="A676" s="8"/>
      <c r="B676" s="8"/>
    </row>
    <row r="677" ht="40.5" customHeight="1">
      <c r="A677" s="8"/>
      <c r="B677" s="8"/>
    </row>
    <row r="678" ht="40.5" customHeight="1">
      <c r="A678" s="8"/>
      <c r="B678" s="8"/>
    </row>
    <row r="679" ht="40.5" customHeight="1">
      <c r="A679" s="8"/>
      <c r="B679" s="8"/>
    </row>
    <row r="680" ht="40.5" customHeight="1">
      <c r="A680" s="8"/>
      <c r="B680" s="8"/>
    </row>
    <row r="681" ht="40.5" customHeight="1">
      <c r="A681" s="8"/>
      <c r="B681" s="8"/>
    </row>
    <row r="682" ht="40.5" customHeight="1">
      <c r="A682" s="8"/>
      <c r="B682" s="8"/>
    </row>
    <row r="683" ht="40.5" customHeight="1">
      <c r="A683" s="8"/>
      <c r="B683" s="8"/>
    </row>
    <row r="684" ht="40.5" customHeight="1">
      <c r="A684" s="8"/>
      <c r="B684" s="8"/>
    </row>
    <row r="685" ht="40.5" customHeight="1">
      <c r="A685" s="8"/>
      <c r="B685" s="8"/>
    </row>
    <row r="686" ht="40.5" customHeight="1">
      <c r="A686" s="8"/>
      <c r="B686" s="8"/>
    </row>
    <row r="687" ht="40.5" customHeight="1">
      <c r="A687" s="8"/>
      <c r="B687" s="8"/>
    </row>
    <row r="688" ht="40.5" customHeight="1">
      <c r="A688" s="8"/>
      <c r="B688" s="8"/>
    </row>
    <row r="689" ht="40.5" customHeight="1">
      <c r="A689" s="8"/>
      <c r="B689" s="8"/>
    </row>
    <row r="690" ht="40.5" customHeight="1">
      <c r="A690" s="8"/>
      <c r="B690" s="8"/>
    </row>
    <row r="691" ht="40.5" customHeight="1">
      <c r="A691" s="8"/>
      <c r="B691" s="8"/>
    </row>
    <row r="692" ht="40.5" customHeight="1">
      <c r="A692" s="8"/>
      <c r="B692" s="8"/>
    </row>
    <row r="693" ht="40.5" customHeight="1">
      <c r="A693" s="8"/>
      <c r="B693" s="8"/>
    </row>
    <row r="694" ht="40.5" customHeight="1">
      <c r="A694" s="8"/>
      <c r="B694" s="8"/>
    </row>
    <row r="695" ht="40.5" customHeight="1">
      <c r="A695" s="8"/>
      <c r="B695" s="8"/>
    </row>
    <row r="696" ht="40.5" customHeight="1">
      <c r="A696" s="8"/>
      <c r="B696" s="8"/>
    </row>
    <row r="697" ht="40.5" customHeight="1">
      <c r="A697" s="8"/>
      <c r="B697" s="8"/>
    </row>
    <row r="698" ht="40.5" customHeight="1">
      <c r="A698" s="8"/>
      <c r="B698" s="8"/>
    </row>
    <row r="699" ht="40.5" customHeight="1">
      <c r="A699" s="8"/>
      <c r="B699" s="8"/>
    </row>
    <row r="700" ht="40.5" customHeight="1">
      <c r="A700" s="8"/>
      <c r="B700" s="8"/>
    </row>
    <row r="701" ht="40.5" customHeight="1">
      <c r="A701" s="8"/>
      <c r="B701" s="8"/>
    </row>
    <row r="702" ht="40.5" customHeight="1">
      <c r="A702" s="8"/>
      <c r="B702" s="8"/>
    </row>
    <row r="703" ht="40.5" customHeight="1">
      <c r="A703" s="8"/>
      <c r="B703" s="8"/>
    </row>
    <row r="704" ht="40.5" customHeight="1">
      <c r="A704" s="8"/>
      <c r="B704" s="8"/>
    </row>
    <row r="705" ht="40.5" customHeight="1">
      <c r="A705" s="8"/>
      <c r="B705" s="8"/>
    </row>
    <row r="706" ht="40.5" customHeight="1">
      <c r="A706" s="8"/>
      <c r="B706" s="8"/>
    </row>
    <row r="707" ht="40.5" customHeight="1">
      <c r="A707" s="8"/>
      <c r="B707" s="8"/>
    </row>
    <row r="708" ht="40.5" customHeight="1">
      <c r="A708" s="8"/>
      <c r="B708" s="8"/>
    </row>
    <row r="709" ht="40.5" customHeight="1">
      <c r="A709" s="8"/>
      <c r="B709" s="8"/>
    </row>
    <row r="710" ht="40.5" customHeight="1">
      <c r="A710" s="8"/>
      <c r="B710" s="8"/>
    </row>
    <row r="711" ht="40.5" customHeight="1">
      <c r="A711" s="8"/>
      <c r="B711" s="8"/>
    </row>
    <row r="712" ht="40.5" customHeight="1">
      <c r="A712" s="8"/>
      <c r="B712" s="8"/>
    </row>
    <row r="713" ht="40.5" customHeight="1">
      <c r="A713" s="8"/>
      <c r="B713" s="8"/>
    </row>
    <row r="714" ht="40.5" customHeight="1">
      <c r="A714" s="8"/>
      <c r="B714" s="8"/>
    </row>
    <row r="715" ht="40.5" customHeight="1">
      <c r="A715" s="8"/>
      <c r="B715" s="8"/>
    </row>
    <row r="716" ht="40.5" customHeight="1">
      <c r="A716" s="8"/>
      <c r="B716" s="8"/>
    </row>
    <row r="717" ht="40.5" customHeight="1">
      <c r="A717" s="8"/>
      <c r="B717" s="8"/>
    </row>
    <row r="718" ht="40.5" customHeight="1">
      <c r="A718" s="8"/>
      <c r="B718" s="8"/>
    </row>
    <row r="719" ht="40.5" customHeight="1">
      <c r="A719" s="8"/>
      <c r="B719" s="8"/>
    </row>
    <row r="720" ht="40.5" customHeight="1">
      <c r="A720" s="8"/>
      <c r="B720" s="8"/>
    </row>
    <row r="721" ht="40.5" customHeight="1">
      <c r="A721" s="8"/>
      <c r="B721" s="8"/>
    </row>
    <row r="722" ht="40.5" customHeight="1">
      <c r="A722" s="8"/>
      <c r="B722" s="8"/>
    </row>
    <row r="723" ht="40.5" customHeight="1">
      <c r="A723" s="8"/>
      <c r="B723" s="8"/>
    </row>
    <row r="724" ht="40.5" customHeight="1">
      <c r="A724" s="8"/>
      <c r="B724" s="8"/>
    </row>
    <row r="725" ht="40.5" customHeight="1">
      <c r="A725" s="8"/>
      <c r="B725" s="8"/>
    </row>
    <row r="726" ht="40.5" customHeight="1">
      <c r="A726" s="8"/>
      <c r="B726" s="8"/>
    </row>
    <row r="727" ht="40.5" customHeight="1">
      <c r="A727" s="8"/>
      <c r="B727" s="8"/>
    </row>
    <row r="728" ht="40.5" customHeight="1">
      <c r="A728" s="8"/>
      <c r="B728" s="8"/>
    </row>
    <row r="729" ht="40.5" customHeight="1">
      <c r="A729" s="8"/>
      <c r="B729" s="8"/>
    </row>
    <row r="730" ht="40.5" customHeight="1">
      <c r="A730" s="8"/>
      <c r="B730" s="8"/>
    </row>
    <row r="731" ht="40.5" customHeight="1">
      <c r="A731" s="8"/>
      <c r="B731" s="8"/>
    </row>
    <row r="732" ht="40.5" customHeight="1">
      <c r="A732" s="8"/>
      <c r="B732" s="8"/>
    </row>
    <row r="733" ht="40.5" customHeight="1">
      <c r="A733" s="8"/>
      <c r="B733" s="8"/>
    </row>
    <row r="734" ht="40.5" customHeight="1">
      <c r="A734" s="8"/>
      <c r="B734" s="8"/>
    </row>
    <row r="735" ht="40.5" customHeight="1">
      <c r="A735" s="8"/>
      <c r="B735" s="8"/>
    </row>
    <row r="736" ht="40.5" customHeight="1">
      <c r="A736" s="8"/>
      <c r="B736" s="8"/>
    </row>
    <row r="737" ht="40.5" customHeight="1">
      <c r="A737" s="8"/>
      <c r="B737" s="8"/>
    </row>
    <row r="738" ht="40.5" customHeight="1">
      <c r="A738" s="8"/>
      <c r="B738" s="8"/>
    </row>
    <row r="739" ht="40.5" customHeight="1">
      <c r="A739" s="8"/>
      <c r="B739" s="8"/>
    </row>
    <row r="740" ht="40.5" customHeight="1">
      <c r="A740" s="8"/>
      <c r="B740" s="8"/>
    </row>
    <row r="741" ht="40.5" customHeight="1">
      <c r="A741" s="8"/>
      <c r="B741" s="8"/>
    </row>
    <row r="742" ht="40.5" customHeight="1">
      <c r="A742" s="8"/>
      <c r="B742" s="8"/>
    </row>
    <row r="743" ht="40.5" customHeight="1">
      <c r="A743" s="8"/>
      <c r="B743" s="8"/>
    </row>
    <row r="744" ht="40.5" customHeight="1">
      <c r="A744" s="8"/>
      <c r="B744" s="8"/>
    </row>
    <row r="745" ht="40.5" customHeight="1">
      <c r="A745" s="8"/>
      <c r="B745" s="8"/>
    </row>
    <row r="746" ht="40.5" customHeight="1">
      <c r="A746" s="8"/>
      <c r="B746" s="8"/>
    </row>
    <row r="747" ht="40.5" customHeight="1">
      <c r="A747" s="8"/>
      <c r="B747" s="8"/>
    </row>
    <row r="748" ht="40.5" customHeight="1">
      <c r="A748" s="8"/>
      <c r="B748" s="8"/>
    </row>
    <row r="749" ht="40.5" customHeight="1">
      <c r="A749" s="8"/>
      <c r="B749" s="8"/>
    </row>
    <row r="750" ht="40.5" customHeight="1">
      <c r="A750" s="8"/>
      <c r="B750" s="8"/>
    </row>
    <row r="751" ht="40.5" customHeight="1">
      <c r="A751" s="8"/>
      <c r="B751" s="8"/>
    </row>
    <row r="752" ht="40.5" customHeight="1">
      <c r="A752" s="8"/>
      <c r="B752" s="8"/>
    </row>
    <row r="753" ht="40.5" customHeight="1">
      <c r="A753" s="8"/>
      <c r="B753" s="8"/>
    </row>
    <row r="754" ht="40.5" customHeight="1">
      <c r="A754" s="8"/>
      <c r="B754" s="8"/>
    </row>
    <row r="755" ht="40.5" customHeight="1">
      <c r="A755" s="8"/>
      <c r="B755" s="8"/>
    </row>
    <row r="756" ht="40.5" customHeight="1">
      <c r="A756" s="8"/>
      <c r="B756" s="8"/>
    </row>
    <row r="757" ht="40.5" customHeight="1">
      <c r="A757" s="8"/>
      <c r="B757" s="8"/>
    </row>
    <row r="758" ht="40.5" customHeight="1">
      <c r="A758" s="8"/>
      <c r="B758" s="8"/>
    </row>
    <row r="759" ht="40.5" customHeight="1">
      <c r="A759" s="8"/>
      <c r="B759" s="8"/>
    </row>
    <row r="760" ht="40.5" customHeight="1">
      <c r="A760" s="8"/>
      <c r="B760" s="8"/>
    </row>
    <row r="761" ht="40.5" customHeight="1">
      <c r="A761" s="8"/>
      <c r="B761" s="8"/>
    </row>
    <row r="762" ht="40.5" customHeight="1">
      <c r="A762" s="8"/>
      <c r="B762" s="8"/>
    </row>
    <row r="763" ht="40.5" customHeight="1">
      <c r="A763" s="8"/>
      <c r="B763" s="8"/>
    </row>
    <row r="764" ht="40.5" customHeight="1">
      <c r="A764" s="8"/>
      <c r="B764" s="8"/>
    </row>
    <row r="765" ht="40.5" customHeight="1">
      <c r="A765" s="8"/>
      <c r="B765" s="8"/>
    </row>
    <row r="766" ht="40.5" customHeight="1">
      <c r="A766" s="8"/>
      <c r="B766" s="8"/>
    </row>
    <row r="767" ht="40.5" customHeight="1">
      <c r="A767" s="8"/>
      <c r="B767" s="8"/>
    </row>
    <row r="768" ht="40.5" customHeight="1">
      <c r="A768" s="8"/>
      <c r="B768" s="8"/>
    </row>
    <row r="769" ht="40.5" customHeight="1">
      <c r="A769" s="8"/>
      <c r="B769" s="8"/>
    </row>
    <row r="770" ht="40.5" customHeight="1">
      <c r="A770" s="8"/>
      <c r="B770" s="8"/>
    </row>
    <row r="771" ht="40.5" customHeight="1">
      <c r="A771" s="8"/>
      <c r="B771" s="8"/>
    </row>
    <row r="772" ht="40.5" customHeight="1">
      <c r="A772" s="8"/>
      <c r="B772" s="8"/>
    </row>
    <row r="773" ht="40.5" customHeight="1">
      <c r="A773" s="8"/>
      <c r="B773" s="8"/>
    </row>
    <row r="774" ht="40.5" customHeight="1">
      <c r="A774" s="8"/>
      <c r="B774" s="8"/>
    </row>
    <row r="775" ht="40.5" customHeight="1">
      <c r="A775" s="8"/>
      <c r="B775" s="8"/>
    </row>
    <row r="776" ht="40.5" customHeight="1">
      <c r="A776" s="8"/>
      <c r="B776" s="8"/>
    </row>
    <row r="777" ht="40.5" customHeight="1">
      <c r="A777" s="8"/>
      <c r="B777" s="8"/>
    </row>
    <row r="778" ht="40.5" customHeight="1">
      <c r="A778" s="8"/>
      <c r="B778" s="8"/>
    </row>
    <row r="779" ht="40.5" customHeight="1">
      <c r="A779" s="8"/>
      <c r="B779" s="8"/>
    </row>
    <row r="780" ht="40.5" customHeight="1">
      <c r="A780" s="8"/>
      <c r="B780" s="8"/>
    </row>
    <row r="781" ht="40.5" customHeight="1">
      <c r="A781" s="8"/>
      <c r="B781" s="8"/>
    </row>
    <row r="782" ht="40.5" customHeight="1">
      <c r="A782" s="8"/>
      <c r="B782" s="8"/>
    </row>
    <row r="783" ht="40.5" customHeight="1">
      <c r="A783" s="8"/>
      <c r="B783" s="8"/>
    </row>
    <row r="784" ht="40.5" customHeight="1">
      <c r="A784" s="8"/>
      <c r="B784" s="8"/>
    </row>
    <row r="785" ht="40.5" customHeight="1">
      <c r="A785" s="8"/>
      <c r="B785" s="8"/>
    </row>
    <row r="786" ht="40.5" customHeight="1">
      <c r="A786" s="8"/>
      <c r="B786" s="8"/>
    </row>
    <row r="787" ht="40.5" customHeight="1">
      <c r="A787" s="8"/>
      <c r="B787" s="8"/>
    </row>
    <row r="788" ht="40.5" customHeight="1">
      <c r="A788" s="8"/>
      <c r="B788" s="8"/>
    </row>
    <row r="789" ht="40.5" customHeight="1">
      <c r="A789" s="8"/>
      <c r="B789" s="8"/>
    </row>
    <row r="790" ht="40.5" customHeight="1">
      <c r="A790" s="8"/>
      <c r="B790" s="8"/>
    </row>
    <row r="791" ht="40.5" customHeight="1">
      <c r="A791" s="8"/>
      <c r="B791" s="8"/>
    </row>
    <row r="792" ht="40.5" customHeight="1">
      <c r="A792" s="8"/>
      <c r="B792" s="8"/>
    </row>
    <row r="793" ht="40.5" customHeight="1">
      <c r="A793" s="8"/>
      <c r="B793" s="8"/>
    </row>
    <row r="794" ht="40.5" customHeight="1">
      <c r="A794" s="8"/>
      <c r="B794" s="8"/>
    </row>
    <row r="795" ht="40.5" customHeight="1">
      <c r="A795" s="8"/>
      <c r="B795" s="8"/>
    </row>
    <row r="796" ht="40.5" customHeight="1">
      <c r="A796" s="8"/>
      <c r="B796" s="8"/>
    </row>
    <row r="797" ht="40.5" customHeight="1">
      <c r="A797" s="8"/>
      <c r="B797" s="8"/>
    </row>
    <row r="798" ht="40.5" customHeight="1">
      <c r="A798" s="8"/>
      <c r="B798" s="8"/>
    </row>
    <row r="799" ht="40.5" customHeight="1">
      <c r="A799" s="8"/>
      <c r="B799" s="8"/>
    </row>
    <row r="800" ht="40.5" customHeight="1">
      <c r="A800" s="8"/>
      <c r="B800" s="8"/>
    </row>
    <row r="801" ht="40.5" customHeight="1">
      <c r="A801" s="8"/>
      <c r="B801" s="8"/>
    </row>
    <row r="802" ht="40.5" customHeight="1">
      <c r="A802" s="8"/>
      <c r="B802" s="8"/>
    </row>
    <row r="803" ht="40.5" customHeight="1">
      <c r="A803" s="8"/>
      <c r="B803" s="8"/>
    </row>
    <row r="804" ht="40.5" customHeight="1">
      <c r="A804" s="8"/>
      <c r="B804" s="8"/>
    </row>
    <row r="805" ht="40.5" customHeight="1">
      <c r="A805" s="8"/>
      <c r="B805" s="8"/>
    </row>
    <row r="806" ht="40.5" customHeight="1">
      <c r="A806" s="8"/>
      <c r="B806" s="8"/>
    </row>
    <row r="807" ht="40.5" customHeight="1">
      <c r="A807" s="8"/>
      <c r="B807" s="8"/>
    </row>
    <row r="808" ht="40.5" customHeight="1">
      <c r="A808" s="8"/>
      <c r="B808" s="8"/>
    </row>
    <row r="809" ht="40.5" customHeight="1">
      <c r="A809" s="8"/>
      <c r="B809" s="8"/>
    </row>
    <row r="810" ht="40.5" customHeight="1">
      <c r="A810" s="8"/>
      <c r="B810" s="8"/>
    </row>
    <row r="811" ht="40.5" customHeight="1">
      <c r="A811" s="8"/>
      <c r="B811" s="8"/>
    </row>
    <row r="812" ht="40.5" customHeight="1">
      <c r="A812" s="8"/>
      <c r="B812" s="8"/>
    </row>
    <row r="813" ht="40.5" customHeight="1">
      <c r="A813" s="8"/>
      <c r="B813" s="8"/>
    </row>
    <row r="814" ht="40.5" customHeight="1">
      <c r="A814" s="8"/>
      <c r="B814" s="8"/>
    </row>
    <row r="815" ht="40.5" customHeight="1">
      <c r="A815" s="8"/>
      <c r="B815" s="8"/>
    </row>
    <row r="816" ht="40.5" customHeight="1">
      <c r="A816" s="8"/>
      <c r="B816" s="8"/>
    </row>
    <row r="817" ht="40.5" customHeight="1">
      <c r="A817" s="8"/>
      <c r="B817" s="8"/>
    </row>
    <row r="818" ht="40.5" customHeight="1">
      <c r="A818" s="8"/>
      <c r="B818" s="8"/>
    </row>
    <row r="819" ht="40.5" customHeight="1">
      <c r="A819" s="8"/>
      <c r="B819" s="8"/>
    </row>
    <row r="820" ht="40.5" customHeight="1">
      <c r="A820" s="8"/>
      <c r="B820" s="8"/>
    </row>
    <row r="821" ht="40.5" customHeight="1">
      <c r="A821" s="8"/>
      <c r="B821" s="8"/>
    </row>
    <row r="822" ht="40.5" customHeight="1">
      <c r="A822" s="8"/>
      <c r="B822" s="8"/>
    </row>
    <row r="823" ht="40.5" customHeight="1">
      <c r="A823" s="8"/>
      <c r="B823" s="8"/>
    </row>
    <row r="824" ht="40.5" customHeight="1">
      <c r="A824" s="8"/>
      <c r="B824" s="8"/>
    </row>
    <row r="825" ht="40.5" customHeight="1">
      <c r="A825" s="8"/>
      <c r="B825" s="8"/>
    </row>
    <row r="826" ht="40.5" customHeight="1">
      <c r="A826" s="8"/>
      <c r="B826" s="8"/>
    </row>
    <row r="827" ht="40.5" customHeight="1">
      <c r="A827" s="8"/>
      <c r="B827" s="8"/>
    </row>
    <row r="828" ht="40.5" customHeight="1">
      <c r="A828" s="8"/>
      <c r="B828" s="8"/>
    </row>
    <row r="829" ht="40.5" customHeight="1">
      <c r="A829" s="8"/>
      <c r="B829" s="8"/>
    </row>
    <row r="830" ht="40.5" customHeight="1">
      <c r="A830" s="8"/>
      <c r="B830" s="8"/>
    </row>
    <row r="831" ht="40.5" customHeight="1">
      <c r="A831" s="8"/>
      <c r="B831" s="8"/>
    </row>
    <row r="832" ht="40.5" customHeight="1">
      <c r="A832" s="8"/>
      <c r="B832" s="8"/>
    </row>
    <row r="833" ht="40.5" customHeight="1">
      <c r="A833" s="8"/>
      <c r="B833" s="8"/>
    </row>
    <row r="834" ht="40.5" customHeight="1">
      <c r="A834" s="8"/>
      <c r="B834" s="8"/>
    </row>
    <row r="835" ht="40.5" customHeight="1">
      <c r="A835" s="8"/>
      <c r="B835" s="8"/>
    </row>
    <row r="836" ht="40.5" customHeight="1">
      <c r="A836" s="8"/>
      <c r="B836" s="8"/>
    </row>
    <row r="837" ht="40.5" customHeight="1">
      <c r="A837" s="8"/>
      <c r="B837" s="8"/>
    </row>
    <row r="838" ht="40.5" customHeight="1">
      <c r="A838" s="8"/>
      <c r="B838" s="8"/>
    </row>
    <row r="839" ht="40.5" customHeight="1">
      <c r="A839" s="8"/>
      <c r="B839" s="8"/>
    </row>
    <row r="840" ht="40.5" customHeight="1">
      <c r="A840" s="8"/>
      <c r="B840" s="8"/>
    </row>
    <row r="841" ht="40.5" customHeight="1">
      <c r="A841" s="8"/>
      <c r="B841" s="8"/>
    </row>
    <row r="842" ht="40.5" customHeight="1">
      <c r="A842" s="8"/>
      <c r="B842" s="8"/>
    </row>
    <row r="843" ht="40.5" customHeight="1">
      <c r="A843" s="8"/>
      <c r="B843" s="8"/>
    </row>
    <row r="844" ht="40.5" customHeight="1">
      <c r="A844" s="8"/>
      <c r="B844" s="8"/>
    </row>
    <row r="845" ht="40.5" customHeight="1">
      <c r="A845" s="8"/>
      <c r="B845" s="8"/>
    </row>
    <row r="846" ht="40.5" customHeight="1">
      <c r="A846" s="8"/>
      <c r="B846" s="8"/>
    </row>
    <row r="847" ht="40.5" customHeight="1">
      <c r="A847" s="8"/>
      <c r="B847" s="8"/>
    </row>
    <row r="848" ht="40.5" customHeight="1">
      <c r="A848" s="8"/>
      <c r="B848" s="8"/>
    </row>
    <row r="849" ht="40.5" customHeight="1">
      <c r="A849" s="8"/>
      <c r="B849" s="8"/>
    </row>
    <row r="850" ht="40.5" customHeight="1">
      <c r="A850" s="8"/>
      <c r="B850" s="8"/>
    </row>
    <row r="851" ht="40.5" customHeight="1">
      <c r="A851" s="8"/>
      <c r="B851" s="8"/>
    </row>
    <row r="852" ht="40.5" customHeight="1">
      <c r="A852" s="8"/>
      <c r="B852" s="8"/>
    </row>
    <row r="853" ht="40.5" customHeight="1">
      <c r="A853" s="8"/>
      <c r="B853" s="8"/>
    </row>
    <row r="854" ht="40.5" customHeight="1">
      <c r="A854" s="8"/>
      <c r="B854" s="8"/>
    </row>
    <row r="855" ht="40.5" customHeight="1">
      <c r="A855" s="8"/>
      <c r="B855" s="8"/>
    </row>
    <row r="856" ht="40.5" customHeight="1">
      <c r="A856" s="8"/>
      <c r="B856" s="8"/>
    </row>
    <row r="857" ht="40.5" customHeight="1">
      <c r="A857" s="8"/>
      <c r="B857" s="8"/>
    </row>
    <row r="858" ht="40.5" customHeight="1">
      <c r="A858" s="8"/>
      <c r="B858" s="8"/>
    </row>
    <row r="859" ht="40.5" customHeight="1">
      <c r="A859" s="8"/>
      <c r="B859" s="8"/>
    </row>
    <row r="860" ht="40.5" customHeight="1">
      <c r="A860" s="8"/>
      <c r="B860" s="8"/>
    </row>
    <row r="861" ht="40.5" customHeight="1">
      <c r="A861" s="8"/>
      <c r="B861" s="8"/>
    </row>
    <row r="862" ht="40.5" customHeight="1">
      <c r="A862" s="8"/>
      <c r="B862" s="8"/>
    </row>
    <row r="863" ht="40.5" customHeight="1">
      <c r="A863" s="8"/>
      <c r="B863" s="8"/>
    </row>
    <row r="864" ht="40.5" customHeight="1">
      <c r="A864" s="8"/>
      <c r="B864" s="8"/>
    </row>
    <row r="865" ht="40.5" customHeight="1">
      <c r="A865" s="8"/>
      <c r="B865" s="8"/>
    </row>
    <row r="866" ht="40.5" customHeight="1">
      <c r="A866" s="8"/>
      <c r="B866" s="8"/>
    </row>
    <row r="867" ht="40.5" customHeight="1">
      <c r="A867" s="8"/>
      <c r="B867" s="8"/>
    </row>
    <row r="868" ht="40.5" customHeight="1">
      <c r="A868" s="8"/>
      <c r="B868" s="8"/>
    </row>
    <row r="869" ht="40.5" customHeight="1">
      <c r="A869" s="8"/>
      <c r="B869" s="8"/>
    </row>
    <row r="870" ht="40.5" customHeight="1">
      <c r="A870" s="8"/>
      <c r="B870" s="8"/>
    </row>
    <row r="871" ht="40.5" customHeight="1">
      <c r="A871" s="8"/>
      <c r="B871" s="8"/>
    </row>
    <row r="872" ht="40.5" customHeight="1">
      <c r="A872" s="8"/>
      <c r="B872" s="8"/>
    </row>
    <row r="873" ht="40.5" customHeight="1">
      <c r="A873" s="8"/>
      <c r="B873" s="8"/>
    </row>
    <row r="874" ht="40.5" customHeight="1">
      <c r="A874" s="8"/>
      <c r="B874" s="8"/>
    </row>
    <row r="875" ht="40.5" customHeight="1">
      <c r="A875" s="8"/>
      <c r="B875" s="8"/>
    </row>
    <row r="876" ht="40.5" customHeight="1">
      <c r="A876" s="8"/>
      <c r="B876" s="8"/>
    </row>
    <row r="877" ht="40.5" customHeight="1">
      <c r="A877" s="8"/>
      <c r="B877" s="8"/>
    </row>
    <row r="878" ht="40.5" customHeight="1">
      <c r="A878" s="8"/>
      <c r="B878" s="8"/>
    </row>
    <row r="879" ht="40.5" customHeight="1">
      <c r="A879" s="8"/>
      <c r="B879" s="8"/>
    </row>
    <row r="880" ht="40.5" customHeight="1">
      <c r="A880" s="8"/>
      <c r="B880" s="8"/>
    </row>
    <row r="881" ht="40.5" customHeight="1">
      <c r="A881" s="8"/>
      <c r="B881" s="8"/>
    </row>
    <row r="882" ht="40.5" customHeight="1">
      <c r="A882" s="8"/>
      <c r="B882" s="8"/>
    </row>
    <row r="883" ht="40.5" customHeight="1">
      <c r="A883" s="8"/>
      <c r="B883" s="8"/>
    </row>
    <row r="884" ht="40.5" customHeight="1">
      <c r="A884" s="8"/>
      <c r="B884" s="8"/>
    </row>
    <row r="885" ht="40.5" customHeight="1">
      <c r="A885" s="8"/>
      <c r="B885" s="8"/>
    </row>
    <row r="886" ht="40.5" customHeight="1">
      <c r="A886" s="8"/>
      <c r="B886" s="8"/>
    </row>
    <row r="887" ht="40.5" customHeight="1">
      <c r="A887" s="8"/>
      <c r="B887" s="8"/>
    </row>
    <row r="888" ht="40.5" customHeight="1">
      <c r="A888" s="8"/>
      <c r="B888" s="8"/>
    </row>
    <row r="889" ht="40.5" customHeight="1">
      <c r="A889" s="8"/>
      <c r="B889" s="8"/>
    </row>
    <row r="890" ht="40.5" customHeight="1">
      <c r="A890" s="8"/>
      <c r="B890" s="8"/>
    </row>
    <row r="891" ht="40.5" customHeight="1">
      <c r="A891" s="8"/>
      <c r="B891" s="8"/>
    </row>
    <row r="892" ht="40.5" customHeight="1">
      <c r="A892" s="8"/>
      <c r="B892" s="8"/>
    </row>
    <row r="893" ht="40.5" customHeight="1">
      <c r="A893" s="8"/>
      <c r="B893" s="8"/>
    </row>
    <row r="894" ht="40.5" customHeight="1">
      <c r="A894" s="8"/>
      <c r="B894" s="8"/>
    </row>
    <row r="895" ht="40.5" customHeight="1">
      <c r="A895" s="8"/>
      <c r="B895" s="8"/>
    </row>
    <row r="896" ht="40.5" customHeight="1">
      <c r="A896" s="8"/>
      <c r="B896" s="8"/>
    </row>
    <row r="897" ht="40.5" customHeight="1">
      <c r="A897" s="8"/>
      <c r="B897" s="8"/>
    </row>
    <row r="898" ht="40.5" customHeight="1">
      <c r="A898" s="8"/>
      <c r="B898" s="8"/>
    </row>
    <row r="899" ht="40.5" customHeight="1">
      <c r="A899" s="8"/>
      <c r="B899" s="8"/>
    </row>
    <row r="900" ht="40.5" customHeight="1">
      <c r="A900" s="8"/>
      <c r="B900" s="8"/>
    </row>
    <row r="901" ht="40.5" customHeight="1">
      <c r="A901" s="8"/>
      <c r="B901" s="8"/>
    </row>
    <row r="902" ht="40.5" customHeight="1">
      <c r="A902" s="8"/>
      <c r="B902" s="8"/>
    </row>
    <row r="903" ht="40.5" customHeight="1">
      <c r="A903" s="8"/>
      <c r="B903" s="8"/>
    </row>
    <row r="904" ht="40.5" customHeight="1">
      <c r="A904" s="8"/>
      <c r="B904" s="8"/>
    </row>
    <row r="905" ht="40.5" customHeight="1">
      <c r="A905" s="8"/>
      <c r="B905" s="8"/>
    </row>
    <row r="906" ht="40.5" customHeight="1">
      <c r="A906" s="8"/>
      <c r="B906" s="8"/>
    </row>
    <row r="907" ht="40.5" customHeight="1">
      <c r="A907" s="8"/>
      <c r="B907" s="8"/>
    </row>
    <row r="908" ht="40.5" customHeight="1">
      <c r="A908" s="8"/>
      <c r="B908" s="8"/>
    </row>
    <row r="909" ht="40.5" customHeight="1">
      <c r="A909" s="8"/>
      <c r="B909" s="8"/>
    </row>
    <row r="910" ht="40.5" customHeight="1">
      <c r="A910" s="8"/>
      <c r="B910" s="8"/>
    </row>
    <row r="911" ht="40.5" customHeight="1">
      <c r="A911" s="8"/>
      <c r="B911" s="8"/>
    </row>
    <row r="912" ht="40.5" customHeight="1">
      <c r="A912" s="8"/>
      <c r="B912" s="8"/>
    </row>
    <row r="913" ht="40.5" customHeight="1">
      <c r="A913" s="8"/>
      <c r="B913" s="8"/>
    </row>
    <row r="914" ht="40.5" customHeight="1">
      <c r="A914" s="8"/>
      <c r="B914" s="8"/>
    </row>
    <row r="915" ht="40.5" customHeight="1">
      <c r="A915" s="8"/>
      <c r="B915" s="8"/>
    </row>
    <row r="916" ht="40.5" customHeight="1">
      <c r="A916" s="8"/>
      <c r="B916" s="8"/>
    </row>
    <row r="917" ht="40.5" customHeight="1">
      <c r="A917" s="8"/>
      <c r="B917" s="8"/>
    </row>
    <row r="918" ht="40.5" customHeight="1">
      <c r="A918" s="8"/>
      <c r="B918" s="8"/>
    </row>
    <row r="919" ht="40.5" customHeight="1">
      <c r="A919" s="8"/>
      <c r="B919" s="8"/>
    </row>
    <row r="920" ht="40.5" customHeight="1">
      <c r="A920" s="8"/>
      <c r="B920" s="8"/>
    </row>
    <row r="921" ht="40.5" customHeight="1">
      <c r="A921" s="8"/>
      <c r="B921" s="8"/>
    </row>
    <row r="922" ht="40.5" customHeight="1">
      <c r="A922" s="8"/>
      <c r="B922" s="8"/>
    </row>
    <row r="923" ht="40.5" customHeight="1">
      <c r="A923" s="8"/>
      <c r="B923" s="8"/>
    </row>
    <row r="924" ht="40.5" customHeight="1">
      <c r="A924" s="8"/>
      <c r="B924" s="8"/>
    </row>
    <row r="925" ht="40.5" customHeight="1">
      <c r="A925" s="8"/>
      <c r="B925" s="8"/>
    </row>
    <row r="926" ht="40.5" customHeight="1">
      <c r="A926" s="8"/>
      <c r="B926" s="8"/>
    </row>
    <row r="927" ht="40.5" customHeight="1">
      <c r="A927" s="8"/>
      <c r="B927" s="8"/>
    </row>
    <row r="928" ht="40.5" customHeight="1">
      <c r="A928" s="8"/>
      <c r="B928" s="8"/>
    </row>
    <row r="929" ht="40.5" customHeight="1">
      <c r="A929" s="8"/>
      <c r="B929" s="8"/>
    </row>
    <row r="930" ht="40.5" customHeight="1">
      <c r="A930" s="8"/>
      <c r="B930" s="8"/>
    </row>
    <row r="931" ht="40.5" customHeight="1">
      <c r="A931" s="8"/>
      <c r="B931" s="8"/>
    </row>
    <row r="932" ht="40.5" customHeight="1">
      <c r="A932" s="8"/>
      <c r="B932" s="8"/>
    </row>
    <row r="933" ht="40.5" customHeight="1">
      <c r="A933" s="8"/>
      <c r="B933" s="8"/>
    </row>
    <row r="934" ht="40.5" customHeight="1">
      <c r="A934" s="8"/>
      <c r="B934" s="8"/>
    </row>
    <row r="935" ht="40.5" customHeight="1">
      <c r="A935" s="8"/>
      <c r="B935" s="8"/>
    </row>
    <row r="936" ht="40.5" customHeight="1">
      <c r="A936" s="8"/>
      <c r="B936" s="8"/>
    </row>
    <row r="937" ht="40.5" customHeight="1">
      <c r="A937" s="8"/>
      <c r="B937" s="8"/>
    </row>
    <row r="938" ht="40.5" customHeight="1">
      <c r="A938" s="8"/>
      <c r="B938" s="8"/>
    </row>
    <row r="939" ht="40.5" customHeight="1">
      <c r="A939" s="8"/>
      <c r="B939" s="8"/>
    </row>
    <row r="940" ht="40.5" customHeight="1">
      <c r="A940" s="8"/>
      <c r="B940" s="8"/>
    </row>
    <row r="941" ht="40.5" customHeight="1">
      <c r="A941" s="8"/>
      <c r="B941" s="8"/>
    </row>
    <row r="942" ht="40.5" customHeight="1">
      <c r="A942" s="8"/>
      <c r="B942" s="8"/>
    </row>
    <row r="943" ht="40.5" customHeight="1">
      <c r="A943" s="8"/>
      <c r="B943" s="8"/>
    </row>
    <row r="944" ht="40.5" customHeight="1">
      <c r="A944" s="8"/>
      <c r="B944" s="8"/>
    </row>
    <row r="945" ht="40.5" customHeight="1">
      <c r="A945" s="8"/>
      <c r="B945" s="8"/>
    </row>
    <row r="946" ht="40.5" customHeight="1">
      <c r="A946" s="8"/>
      <c r="B946" s="8"/>
    </row>
    <row r="947" ht="40.5" customHeight="1">
      <c r="A947" s="8"/>
      <c r="B947" s="8"/>
    </row>
    <row r="948" ht="40.5" customHeight="1">
      <c r="A948" s="8"/>
      <c r="B948" s="8"/>
    </row>
    <row r="949" ht="40.5" customHeight="1">
      <c r="A949" s="8"/>
      <c r="B949" s="8"/>
    </row>
    <row r="950" ht="40.5" customHeight="1">
      <c r="A950" s="8"/>
      <c r="B950" s="8"/>
    </row>
    <row r="951" ht="40.5" customHeight="1">
      <c r="A951" s="8"/>
      <c r="B951" s="8"/>
    </row>
    <row r="952" ht="40.5" customHeight="1">
      <c r="A952" s="8"/>
      <c r="B952" s="8"/>
    </row>
    <row r="953" ht="40.5" customHeight="1">
      <c r="A953" s="8"/>
      <c r="B953" s="8"/>
    </row>
    <row r="954" ht="40.5" customHeight="1">
      <c r="A954" s="8"/>
      <c r="B954" s="8"/>
    </row>
    <row r="955" ht="40.5" customHeight="1">
      <c r="A955" s="8"/>
      <c r="B955" s="8"/>
    </row>
    <row r="956" ht="40.5" customHeight="1">
      <c r="A956" s="8"/>
      <c r="B956" s="8"/>
    </row>
    <row r="957" ht="40.5" customHeight="1">
      <c r="A957" s="8"/>
      <c r="B957" s="8"/>
    </row>
    <row r="958" ht="40.5" customHeight="1">
      <c r="A958" s="8"/>
      <c r="B958" s="8"/>
    </row>
    <row r="959" ht="40.5" customHeight="1">
      <c r="A959" s="8"/>
      <c r="B959" s="8"/>
    </row>
    <row r="960" ht="40.5" customHeight="1">
      <c r="A960" s="8"/>
      <c r="B960" s="8"/>
    </row>
    <row r="961" ht="40.5" customHeight="1">
      <c r="A961" s="8"/>
      <c r="B961" s="8"/>
    </row>
    <row r="962" ht="40.5" customHeight="1">
      <c r="A962" s="8"/>
      <c r="B962" s="8"/>
    </row>
    <row r="963" ht="40.5" customHeight="1">
      <c r="A963" s="8"/>
      <c r="B963" s="8"/>
    </row>
    <row r="964" ht="40.5" customHeight="1">
      <c r="A964" s="8"/>
      <c r="B964" s="8"/>
    </row>
    <row r="965" ht="40.5" customHeight="1">
      <c r="A965" s="8"/>
      <c r="B965" s="8"/>
    </row>
    <row r="966" ht="40.5" customHeight="1">
      <c r="A966" s="8"/>
      <c r="B966" s="8"/>
    </row>
    <row r="967" ht="40.5" customHeight="1">
      <c r="A967" s="8"/>
      <c r="B967" s="8"/>
    </row>
    <row r="968" ht="40.5" customHeight="1">
      <c r="A968" s="8"/>
      <c r="B968" s="8"/>
    </row>
    <row r="969" ht="40.5" customHeight="1">
      <c r="A969" s="8"/>
      <c r="B969" s="8"/>
    </row>
    <row r="970" ht="40.5" customHeight="1">
      <c r="A970" s="8"/>
      <c r="B970" s="8"/>
    </row>
    <row r="971" ht="40.5" customHeight="1">
      <c r="A971" s="8"/>
      <c r="B971" s="8"/>
    </row>
    <row r="972" ht="40.5" customHeight="1">
      <c r="A972" s="8"/>
      <c r="B972" s="8"/>
    </row>
    <row r="973" ht="40.5" customHeight="1">
      <c r="A973" s="8"/>
      <c r="B973" s="8"/>
    </row>
    <row r="974" ht="40.5" customHeight="1">
      <c r="A974" s="8"/>
      <c r="B974" s="8"/>
    </row>
    <row r="975" ht="40.5" customHeight="1">
      <c r="A975" s="8"/>
      <c r="B975" s="8"/>
    </row>
    <row r="976" ht="40.5" customHeight="1">
      <c r="A976" s="8"/>
      <c r="B976" s="8"/>
    </row>
    <row r="977" ht="40.5" customHeight="1">
      <c r="A977" s="8"/>
      <c r="B977" s="8"/>
    </row>
    <row r="978" ht="40.5" customHeight="1">
      <c r="A978" s="8"/>
      <c r="B978" s="8"/>
    </row>
    <row r="979" ht="40.5" customHeight="1">
      <c r="A979" s="8"/>
      <c r="B979" s="8"/>
    </row>
    <row r="980" ht="40.5" customHeight="1">
      <c r="A980" s="8"/>
      <c r="B980" s="8"/>
    </row>
    <row r="981" ht="40.5" customHeight="1">
      <c r="A981" s="8"/>
      <c r="B981" s="8"/>
    </row>
    <row r="982" ht="40.5" customHeight="1">
      <c r="A982" s="8"/>
      <c r="B982" s="8"/>
    </row>
    <row r="983" ht="40.5" customHeight="1">
      <c r="A983" s="8"/>
      <c r="B983" s="8"/>
    </row>
    <row r="984" ht="40.5" customHeight="1">
      <c r="A984" s="8"/>
      <c r="B984" s="8"/>
    </row>
    <row r="985" ht="40.5" customHeight="1">
      <c r="A985" s="8"/>
      <c r="B985" s="8"/>
    </row>
    <row r="986" ht="40.5" customHeight="1">
      <c r="A986" s="8"/>
      <c r="B986" s="8"/>
    </row>
    <row r="987" ht="40.5" customHeight="1">
      <c r="A987" s="8"/>
      <c r="B987" s="8"/>
    </row>
    <row r="988" ht="40.5" customHeight="1">
      <c r="A988" s="8"/>
      <c r="B988" s="8"/>
    </row>
    <row r="989" ht="40.5" customHeight="1">
      <c r="A989" s="8"/>
      <c r="B989" s="8"/>
    </row>
    <row r="990" ht="40.5" customHeight="1">
      <c r="A990" s="8"/>
      <c r="B990" s="8"/>
    </row>
    <row r="991" ht="40.5" customHeight="1">
      <c r="A991" s="8"/>
      <c r="B991" s="8"/>
    </row>
    <row r="992" ht="40.5" customHeight="1">
      <c r="A992" s="8"/>
      <c r="B992" s="8"/>
    </row>
    <row r="993" ht="40.5" customHeight="1">
      <c r="A993" s="8"/>
      <c r="B993" s="8"/>
    </row>
    <row r="994" ht="40.5" customHeight="1">
      <c r="A994" s="8"/>
      <c r="B994" s="8"/>
    </row>
    <row r="995" ht="40.5" customHeight="1">
      <c r="A995" s="8"/>
      <c r="B995" s="8"/>
    </row>
    <row r="996" ht="40.5" customHeight="1">
      <c r="A996" s="8"/>
      <c r="B996" s="8"/>
    </row>
    <row r="997" ht="40.5" customHeight="1">
      <c r="A997" s="8"/>
      <c r="B997" s="8"/>
    </row>
    <row r="998" ht="40.5" customHeight="1">
      <c r="A998" s="8"/>
      <c r="B998" s="8"/>
    </row>
    <row r="999" ht="40.5" customHeight="1">
      <c r="A999" s="8"/>
      <c r="B999" s="8"/>
    </row>
    <row r="1000" ht="40.5" customHeight="1">
      <c r="A1000" s="8"/>
      <c r="B1000" s="8"/>
    </row>
  </sheetData>
  <mergeCells count="5">
    <mergeCell ref="A1:I1"/>
    <mergeCell ref="A3:I3"/>
    <mergeCell ref="A7:I7"/>
    <mergeCell ref="A63:I63"/>
    <mergeCell ref="A89:G89"/>
  </mergeCells>
  <hyperlinks>
    <hyperlink r:id="rId1" ref="A7"/>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8.29"/>
    <col customWidth="1" min="2" max="2" width="21.0"/>
    <col customWidth="1" min="3" max="3" width="10.86"/>
    <col customWidth="1" min="4" max="4" width="13.57"/>
    <col customWidth="1" min="5" max="5" width="28.71"/>
    <col customWidth="1" min="6" max="6" width="19.71"/>
    <col customWidth="1" min="7" max="7" width="10.86"/>
    <col customWidth="1" min="8" max="8" width="17.43"/>
    <col customWidth="1" min="9" max="9" width="19.71"/>
    <col customWidth="1" min="10" max="11" width="10.86"/>
    <col customWidth="1" min="12" max="12" width="18.57"/>
    <col customWidth="1" min="13" max="19" width="10.86"/>
    <col customWidth="1" min="20" max="26" width="8.71"/>
  </cols>
  <sheetData>
    <row r="1" ht="52.5" customHeight="1">
      <c r="A1" s="1" t="s">
        <v>0</v>
      </c>
      <c r="B1" s="2"/>
      <c r="C1" s="2"/>
      <c r="D1" s="2"/>
      <c r="E1" s="2"/>
      <c r="F1" s="2"/>
      <c r="G1" s="2"/>
      <c r="H1" s="2"/>
      <c r="I1" s="3"/>
    </row>
    <row r="2" ht="12.75" customHeight="1">
      <c r="S2" t="s">
        <v>3</v>
      </c>
    </row>
    <row r="3" ht="12.75" customHeight="1">
      <c r="J3" s="7"/>
    </row>
    <row r="4" ht="12.75" customHeight="1">
      <c r="A4" s="1" t="s">
        <v>6</v>
      </c>
      <c r="B4" s="2"/>
      <c r="C4" s="2"/>
      <c r="D4" s="2"/>
      <c r="E4" s="2"/>
      <c r="F4" s="2"/>
      <c r="G4" s="2"/>
      <c r="H4" s="2"/>
      <c r="I4" s="3"/>
      <c r="J4" s="7"/>
    </row>
    <row r="5" ht="12.75" customHeight="1">
      <c r="B5" s="8" t="s">
        <v>7</v>
      </c>
      <c r="C5" t="s">
        <v>8</v>
      </c>
    </row>
    <row r="6" ht="12.75" customHeight="1">
      <c r="A6" t="s">
        <v>9</v>
      </c>
      <c r="C6" s="6">
        <f>16920914</f>
        <v>16920914</v>
      </c>
    </row>
    <row r="7" ht="12.75" customHeight="1">
      <c r="A7" t="s">
        <v>11</v>
      </c>
      <c r="B7" s="13">
        <f>'Aantal landdieren gedood'!C7/('Aantal landdieren gedood'!C6)</f>
        <v>0.003545907745</v>
      </c>
      <c r="C7" s="6">
        <v>60000.0</v>
      </c>
    </row>
    <row r="8" ht="12.75" customHeight="1">
      <c r="A8" t="s">
        <v>13</v>
      </c>
      <c r="B8" s="13">
        <v>0.045</v>
      </c>
      <c r="C8" s="6">
        <f>'Aantal landdieren gedood'!B8*'Aantal landdieren gedood'!C6</f>
        <v>761441.13</v>
      </c>
    </row>
    <row r="9" ht="12.75" customHeight="1">
      <c r="A9" t="s">
        <v>15</v>
      </c>
      <c r="B9" s="13">
        <f>1-'Aantal landdieren gedood'!B8-'Aantal landdieren gedood'!B7</f>
        <v>0.9514540923</v>
      </c>
      <c r="C9" s="6">
        <f>'Aantal landdieren gedood'!B9*'Aantal landdieren gedood'!C6</f>
        <v>16099472.87</v>
      </c>
      <c r="R9">
        <f>'Aantal landdieren gedood'!P9*'Aantal landdieren gedood'!Q9</f>
        <v>0</v>
      </c>
    </row>
    <row r="10" ht="12.75" customHeight="1">
      <c r="A10" t="s">
        <v>25</v>
      </c>
      <c r="B10" s="13">
        <f>'Aantal landdieren gedood'!B9+'Aantal landdieren gedood'!B8</f>
        <v>0.9964540923</v>
      </c>
      <c r="C10" s="6">
        <f>'Aantal landdieren gedood'!B10*'Aantal landdieren gedood'!C6</f>
        <v>16860914</v>
      </c>
    </row>
    <row r="11" ht="12.75" customHeight="1">
      <c r="B11" s="13"/>
      <c r="C11" s="6"/>
    </row>
    <row r="12" ht="12.75" customHeight="1">
      <c r="A12" s="14" t="s">
        <v>27</v>
      </c>
    </row>
    <row r="13" ht="12.75" customHeight="1">
      <c r="R13">
        <f>'Aantal landdieren gedood'!P13*'Aantal landdieren gedood'!Q13</f>
        <v>0</v>
      </c>
    </row>
    <row r="14" ht="12.75" customHeight="1">
      <c r="A14" s="7"/>
      <c r="B14" s="7"/>
      <c r="C14" s="6"/>
      <c r="D14" s="7"/>
      <c r="E14" s="7"/>
      <c r="F14" s="7"/>
      <c r="G14" s="7"/>
      <c r="H14" s="7"/>
      <c r="I14" s="7"/>
    </row>
    <row r="15" ht="36.0" customHeight="1">
      <c r="A15" s="1" t="s">
        <v>28</v>
      </c>
      <c r="B15" s="2"/>
      <c r="C15" s="2"/>
      <c r="D15" s="2"/>
      <c r="E15" s="2"/>
      <c r="F15" s="2"/>
      <c r="G15" s="2"/>
      <c r="H15" s="2"/>
      <c r="I15" s="3"/>
    </row>
    <row r="16" ht="12.75" customHeight="1">
      <c r="A16" s="11"/>
    </row>
    <row r="17" ht="12.75" customHeight="1"/>
    <row r="18" ht="12.75" customHeight="1">
      <c r="B18" t="s">
        <v>29</v>
      </c>
      <c r="C18" s="8" t="s">
        <v>30</v>
      </c>
      <c r="D18" s="21" t="s">
        <v>31</v>
      </c>
    </row>
    <row r="19" ht="12.75" customHeight="1">
      <c r="A19" t="s">
        <v>32</v>
      </c>
      <c r="B19">
        <v>510000.0</v>
      </c>
      <c r="C19">
        <f>158700*1000</f>
        <v>158700000</v>
      </c>
      <c r="D19">
        <f>'Aantal landdieren gedood'!C19/'Aantal landdieren gedood'!B19</f>
        <v>311.1764706</v>
      </c>
    </row>
    <row r="20" ht="12.75" customHeight="1">
      <c r="A20" t="s">
        <v>35</v>
      </c>
      <c r="B20">
        <v>1425000.0</v>
      </c>
      <c r="C20">
        <f>219200*1000</f>
        <v>219200000</v>
      </c>
      <c r="D20">
        <f>'Aantal landdieren gedood'!C20/'Aantal landdieren gedood'!B20</f>
        <v>153.8245614</v>
      </c>
    </row>
    <row r="21" ht="12.75" customHeight="1">
      <c r="A21" t="s">
        <v>24</v>
      </c>
      <c r="B21">
        <f>14.3*1000000</f>
        <v>14300000</v>
      </c>
      <c r="C21">
        <f>1331100*1000</f>
        <v>1331100000</v>
      </c>
      <c r="D21">
        <f>'Aantal landdieren gedood'!C21/'Aantal landdieren gedood'!B21</f>
        <v>93.08391608</v>
      </c>
    </row>
    <row r="22" ht="12.75" customHeight="1">
      <c r="A22" t="s">
        <v>50</v>
      </c>
      <c r="B22">
        <f>720000</f>
        <v>720000</v>
      </c>
      <c r="C22">
        <f>14000*1000</f>
        <v>14000000</v>
      </c>
      <c r="D22">
        <f>'Aantal landdieren gedood'!C22/'Aantal landdieren gedood'!B22</f>
        <v>19.44444444</v>
      </c>
      <c r="R22">
        <f>'Aantal landdieren gedood'!P22*'Aantal landdieren gedood'!Q22</f>
        <v>0</v>
      </c>
    </row>
    <row r="23" ht="12.75" customHeight="1">
      <c r="A23" t="s">
        <v>57</v>
      </c>
      <c r="B23">
        <f>25194858</f>
        <v>25194858</v>
      </c>
      <c r="C23">
        <f>38272493</f>
        <v>38272493</v>
      </c>
      <c r="D23">
        <f>'Aantal landdieren gedood'!C23/'Aantal landdieren gedood'!B23</f>
        <v>1.519059683</v>
      </c>
    </row>
    <row r="24" ht="12.75" customHeight="1"/>
    <row r="25" ht="12.75" customHeight="1">
      <c r="A25" s="21" t="s">
        <v>60</v>
      </c>
    </row>
    <row r="26" ht="12.75" customHeight="1"/>
    <row r="27" ht="12.75" customHeight="1"/>
    <row r="28" ht="64.5" customHeight="1">
      <c r="A28" s="1" t="s">
        <v>62</v>
      </c>
      <c r="B28" s="2"/>
      <c r="C28" s="2"/>
      <c r="D28" s="2"/>
      <c r="E28" s="2"/>
      <c r="F28" s="2"/>
      <c r="G28" s="2"/>
      <c r="H28" s="2"/>
      <c r="I28" s="3"/>
    </row>
    <row r="29" ht="12.75" customHeight="1"/>
    <row r="30" ht="12.75" customHeight="1">
      <c r="A30" t="s">
        <v>63</v>
      </c>
      <c r="B30" s="8" t="s">
        <v>64</v>
      </c>
      <c r="C30" t="s">
        <v>65</v>
      </c>
      <c r="D30" t="s">
        <v>66</v>
      </c>
      <c r="E30" t="s">
        <v>67</v>
      </c>
      <c r="F30" t="s">
        <v>68</v>
      </c>
    </row>
    <row r="31" ht="12.75" customHeight="1">
      <c r="A31" t="s">
        <v>69</v>
      </c>
      <c r="B31">
        <v>36.6</v>
      </c>
      <c r="C31" s="6">
        <f>'Aantal landdieren gedood'!B31*'Aantal landdieren gedood'!$C$6</f>
        <v>619305452.4</v>
      </c>
      <c r="D31" s="17">
        <f>'Aantal landdieren gedood'!C31/'Aantal landdieren gedood'!$C$9</f>
        <v>38.46743663</v>
      </c>
      <c r="E31" s="17">
        <f>'Aantal landdieren gedood'!D31/'Aantal landdieren gedood'!D21</f>
        <v>0.4132554608</v>
      </c>
      <c r="F31" s="17" t="str">
        <f>'Aantal landdieren gedood'!E31*#REF!</f>
        <v>#REF!</v>
      </c>
    </row>
    <row r="32" ht="12.75" customHeight="1">
      <c r="A32" t="s">
        <v>33</v>
      </c>
      <c r="B32">
        <f>22.3</f>
        <v>22.3</v>
      </c>
      <c r="C32" s="6">
        <f>'Aantal landdieren gedood'!B32*'Aantal landdieren gedood'!$C$6</f>
        <v>377336382.2</v>
      </c>
      <c r="D32" s="17">
        <f>'Aantal landdieren gedood'!C32/'Aantal landdieren gedood'!$C$9</f>
        <v>23.43780975</v>
      </c>
      <c r="E32" s="17">
        <f>'Aantal landdieren gedood'!D32/'Aantal landdieren gedood'!D23</f>
        <v>15.42915661</v>
      </c>
      <c r="F32" s="17" t="str">
        <f>'Aantal landdieren gedood'!E32*#REF!</f>
        <v>#REF!</v>
      </c>
    </row>
    <row r="33" ht="12.75" customHeight="1">
      <c r="A33" t="s">
        <v>74</v>
      </c>
      <c r="B33">
        <f>13.9</f>
        <v>13.9</v>
      </c>
      <c r="C33" s="6">
        <f>'Aantal landdieren gedood'!B33*'Aantal landdieren gedood'!$C$6</f>
        <v>235200704.6</v>
      </c>
      <c r="D33" s="17">
        <f>'Aantal landdieren gedood'!C33/'Aantal landdieren gedood'!$C$9</f>
        <v>14.60921774</v>
      </c>
      <c r="E33" s="17">
        <f>'Aantal landdieren gedood'!D33/'Aantal landdieren gedood'!D19</f>
        <v>0.04694833677</v>
      </c>
      <c r="F33" s="17" t="str">
        <f>'Aantal landdieren gedood'!E33*#REF!</f>
        <v>#REF!</v>
      </c>
    </row>
    <row r="34" ht="12.75" customHeight="1">
      <c r="A34" t="s">
        <v>77</v>
      </c>
      <c r="B34">
        <f>1.3</f>
        <v>1.3</v>
      </c>
      <c r="C34" s="6">
        <f>'Aantal landdieren gedood'!B34*'Aantal landdieren gedood'!$C$6</f>
        <v>21997188.2</v>
      </c>
      <c r="D34" s="17">
        <f>'Aantal landdieren gedood'!C34/'Aantal landdieren gedood'!$C$9</f>
        <v>1.366329716</v>
      </c>
      <c r="E34" s="17">
        <f>'Aantal landdieren gedood'!D34/'Aantal landdieren gedood'!D20</f>
        <v>0.008882389808</v>
      </c>
      <c r="F34" s="17" t="str">
        <f>'Aantal landdieren gedood'!E34*#REF!</f>
        <v>#REF!</v>
      </c>
    </row>
    <row r="35" ht="12.75" customHeight="1">
      <c r="A35" t="s">
        <v>78</v>
      </c>
      <c r="B35">
        <f>1.2</f>
        <v>1.2</v>
      </c>
      <c r="C35" s="6">
        <f>'Aantal landdieren gedood'!B35*'Aantal landdieren gedood'!$C$6</f>
        <v>20305096.8</v>
      </c>
      <c r="D35" s="17">
        <f>'Aantal landdieren gedood'!C35/'Aantal landdieren gedood'!$C$9</f>
        <v>1.26122743</v>
      </c>
      <c r="E35" s="17">
        <f>'Aantal landdieren gedood'!D35/'Aantal landdieren gedood'!D22</f>
        <v>0.064863125</v>
      </c>
      <c r="F35" s="17" t="str">
        <f>'Aantal landdieren gedood'!E35*#REF!</f>
        <v>#REF!</v>
      </c>
      <c r="R35">
        <f>'Aantal landdieren gedood'!P35*'Aantal landdieren gedood'!Q35</f>
        <v>0</v>
      </c>
    </row>
    <row r="36" ht="12.75" customHeight="1">
      <c r="A36" t="s">
        <v>79</v>
      </c>
      <c r="B36">
        <f>0.1</f>
        <v>0.1</v>
      </c>
      <c r="C36" s="6">
        <f>'Aantal landdieren gedood'!B36*'Aantal landdieren gedood'!$C$6</f>
        <v>1692091.4</v>
      </c>
      <c r="D36" s="17">
        <f>'Aantal landdieren gedood'!C36/'Aantal landdieren gedood'!$C$9</f>
        <v>0.1051022859</v>
      </c>
    </row>
    <row r="37" ht="12.75" customHeight="1">
      <c r="C37" s="6"/>
      <c r="D37" s="17"/>
      <c r="R37">
        <f>'Aantal landdieren gedood'!P37*'Aantal landdieren gedood'!Q37</f>
        <v>0</v>
      </c>
    </row>
    <row r="38" ht="12.75" customHeight="1">
      <c r="A38" s="14" t="s">
        <v>80</v>
      </c>
    </row>
    <row r="39" ht="12.75" customHeight="1"/>
    <row r="40" ht="32.25" customHeight="1">
      <c r="A40" s="1" t="s">
        <v>82</v>
      </c>
      <c r="B40" s="2"/>
      <c r="C40" s="2"/>
      <c r="D40" s="2"/>
      <c r="E40" s="2"/>
      <c r="F40" s="2"/>
      <c r="G40" s="2"/>
      <c r="H40" s="2"/>
      <c r="I40" s="3"/>
    </row>
    <row r="41" ht="12.75" customHeight="1">
      <c r="A41" s="7" t="s">
        <v>85</v>
      </c>
      <c r="B41" s="7">
        <f>((270)/(13513+270))</f>
        <v>0.0195893492</v>
      </c>
      <c r="C41" s="7"/>
      <c r="D41" s="7"/>
      <c r="E41" s="7"/>
      <c r="F41" s="7"/>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75" customHeight="1">
      <c r="A43" t="s">
        <v>86</v>
      </c>
      <c r="B43" t="s">
        <v>87</v>
      </c>
      <c r="C43" t="s">
        <v>88</v>
      </c>
      <c r="D43" t="s">
        <v>90</v>
      </c>
      <c r="E43" t="s">
        <v>91</v>
      </c>
    </row>
    <row r="44" ht="12.75" customHeight="1">
      <c r="A44" t="s">
        <v>92</v>
      </c>
      <c r="B44" s="17">
        <f>365*329/1000</f>
        <v>120.085</v>
      </c>
      <c r="C44" s="17">
        <f>'Aantal landdieren gedood'!B44*1.03</f>
        <v>123.68755</v>
      </c>
      <c r="D44" s="17">
        <f>'Aantal landdieren gedood'!C44*(1-'Aantal landdieren gedood'!$B$41)</f>
        <v>121.2645914</v>
      </c>
      <c r="E44" s="17">
        <f>'Aantal landdieren gedood'!C44*'Aantal landdieren gedood'!$B$41</f>
        <v>2.422958608</v>
      </c>
      <c r="F44" s="17"/>
    </row>
    <row r="45" ht="12.75" customHeight="1">
      <c r="A45" t="s">
        <v>97</v>
      </c>
      <c r="B45" s="17">
        <f>364*365/1000</f>
        <v>132.86</v>
      </c>
      <c r="C45" s="17">
        <f>'Aantal landdieren gedood'!B45*1.03</f>
        <v>136.8458</v>
      </c>
      <c r="D45" s="17">
        <f>'Aantal landdieren gedood'!C45*(1-'Aantal landdieren gedood'!$B$41)</f>
        <v>134.1650798</v>
      </c>
      <c r="E45" s="17">
        <f>'Aantal landdieren gedood'!C45*'Aantal landdieren gedood'!$B$41</f>
        <v>2.680720163</v>
      </c>
      <c r="F45" s="17"/>
    </row>
    <row r="46" ht="12.75" customHeight="1">
      <c r="A46" t="s">
        <v>98</v>
      </c>
      <c r="B46" s="17"/>
      <c r="C46" s="17">
        <f>18*'Aantal landdieren gedood'!C44+(Overzicht!B5-18)*'Aantal landdieren gedood'!C45</f>
        <v>10378.28021</v>
      </c>
      <c r="D46" s="17">
        <f>'Aantal landdieren gedood'!C46*(1-'Aantal landdieren gedood'!$B$41)</f>
        <v>10174.97645</v>
      </c>
      <c r="E46" s="17">
        <f>'Aantal landdieren gedood'!C46*'Aantal landdieren gedood'!$B$41</f>
        <v>203.303755</v>
      </c>
      <c r="F46" s="17"/>
    </row>
    <row r="47" ht="12.75" customHeight="1">
      <c r="A47" t="s">
        <v>99</v>
      </c>
      <c r="B47" s="17"/>
      <c r="C47" s="17">
        <f>'Aantal landdieren gedood'!C46/'Aantal landdieren gedood'!B10</f>
        <v>10415.21159</v>
      </c>
      <c r="D47" s="17">
        <f>'Aantal landdieren gedood'!C47*(1-'Aantal landdieren gedood'!$B$41)</f>
        <v>10211.18437</v>
      </c>
      <c r="E47" s="17">
        <f>'Aantal landdieren gedood'!C47*'Aantal landdieren gedood'!$B$41</f>
        <v>204.0272167</v>
      </c>
      <c r="F47" s="17"/>
    </row>
    <row r="48" ht="12.75" customHeight="1">
      <c r="B48" s="17"/>
      <c r="C48" s="17"/>
      <c r="D48" s="17"/>
      <c r="E48" s="17"/>
      <c r="F48" s="17"/>
    </row>
    <row r="49" ht="12.75" customHeight="1">
      <c r="B49" s="17" t="s">
        <v>102</v>
      </c>
      <c r="C49" s="17" t="s">
        <v>103</v>
      </c>
      <c r="D49" s="17"/>
      <c r="E49" s="17"/>
      <c r="F49" s="17"/>
    </row>
    <row r="50" ht="12.75" customHeight="1">
      <c r="A50" t="s">
        <v>104</v>
      </c>
      <c r="B50" s="17">
        <f>30299</f>
        <v>30299</v>
      </c>
      <c r="C50" s="17">
        <f>(824/8333)*'Aantal landdieren gedood'!B50</f>
        <v>2996.084963</v>
      </c>
      <c r="D50" s="17"/>
      <c r="E50" s="17"/>
      <c r="F50" s="17"/>
    </row>
    <row r="51" ht="12.75" customHeight="1">
      <c r="A51" t="s">
        <v>105</v>
      </c>
      <c r="B51" s="17">
        <v>3.6</v>
      </c>
      <c r="C51" s="17">
        <f>(2.1+3.3)*9/2</f>
        <v>24.3</v>
      </c>
      <c r="D51" s="17"/>
      <c r="E51" s="17"/>
      <c r="F51" s="17"/>
    </row>
    <row r="52" ht="12.75" customHeight="1">
      <c r="A52" s="8" t="s">
        <v>106</v>
      </c>
      <c r="B52" s="17">
        <f>(86+908)/1569</f>
        <v>0.6335245379</v>
      </c>
      <c r="C52" s="17">
        <f>'Aantal landdieren gedood'!B52</f>
        <v>0.6335245379</v>
      </c>
      <c r="D52" s="17"/>
      <c r="E52" s="17"/>
      <c r="F52" s="17"/>
    </row>
    <row r="53" ht="12.75" customHeight="1">
      <c r="A53" s="8" t="s">
        <v>110</v>
      </c>
      <c r="B53" s="17">
        <f>'Aantal landdieren gedood'!B52*'Aantal landdieren gedood'!B51</f>
        <v>2.280688337</v>
      </c>
      <c r="C53" s="17">
        <f>'Aantal landdieren gedood'!C52*'Aantal landdieren gedood'!C51</f>
        <v>15.39464627</v>
      </c>
      <c r="D53" s="17"/>
      <c r="E53" s="17"/>
      <c r="F53" s="17"/>
    </row>
    <row r="54" ht="12.75" customHeight="1">
      <c r="A54" s="8" t="s">
        <v>111</v>
      </c>
      <c r="B54" s="17">
        <f>'Aantal landdieren gedood'!D47/'Aantal landdieren gedood'!B50</f>
        <v>0.337013907</v>
      </c>
      <c r="C54" s="17">
        <f>'Aantal landdieren gedood'!E47/'Aantal landdieren gedood'!C50</f>
        <v>0.06809794088</v>
      </c>
      <c r="D54" s="17"/>
      <c r="E54" s="17"/>
      <c r="F54" s="17"/>
    </row>
    <row r="55" ht="12.75" customHeight="1">
      <c r="A55" s="8" t="s">
        <v>113</v>
      </c>
      <c r="B55" s="17">
        <f>'Aantal landdieren gedood'!B54*'Aantal landdieren gedood'!B53</f>
        <v>0.768623687</v>
      </c>
      <c r="C55" s="17">
        <f>'Aantal landdieren gedood'!C53*'Aantal landdieren gedood'!C54</f>
        <v>1.048343712</v>
      </c>
      <c r="D55" s="17"/>
      <c r="E55" s="17"/>
      <c r="F55" s="17"/>
    </row>
    <row r="56" ht="12.75" customHeight="1">
      <c r="A56" s="8" t="s">
        <v>114</v>
      </c>
      <c r="B56" s="17">
        <f>'Aantal landdieren gedood'!B55+'Aantal landdieren gedood'!B54</f>
        <v>1.105637594</v>
      </c>
      <c r="C56" s="17">
        <f>'Aantal landdieren gedood'!C55+'Aantal landdieren gedood'!C54</f>
        <v>1.116441653</v>
      </c>
      <c r="D56" s="17"/>
      <c r="E56" s="17"/>
      <c r="F56" s="17"/>
    </row>
    <row r="57" ht="12.75" customHeight="1"/>
    <row r="58" ht="12.75" customHeight="1">
      <c r="A58" t="s">
        <v>119</v>
      </c>
      <c r="J58" s="7"/>
      <c r="K58" s="7"/>
    </row>
    <row r="59" ht="12.75" customHeight="1">
      <c r="J59" s="7"/>
      <c r="K59" s="7"/>
    </row>
    <row r="60" ht="12.75" customHeight="1">
      <c r="J60" s="7"/>
      <c r="K60" s="7"/>
    </row>
    <row r="61" ht="12.75" customHeight="1">
      <c r="J61" s="7"/>
      <c r="K61" s="7"/>
    </row>
    <row r="62" ht="8.25" customHeight="1">
      <c r="J62" s="7"/>
      <c r="K62" s="7"/>
    </row>
    <row r="63" ht="8.25" customHeight="1">
      <c r="J63" s="7"/>
      <c r="K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32.25" customHeight="1">
      <c r="A65" s="1" t="s">
        <v>121</v>
      </c>
      <c r="B65" s="2"/>
      <c r="C65" s="2"/>
      <c r="D65" s="2"/>
      <c r="E65" s="2"/>
      <c r="F65" s="2"/>
      <c r="G65" s="2"/>
      <c r="H65" s="2"/>
      <c r="I65" s="3"/>
      <c r="J65" s="7"/>
      <c r="K65" s="7"/>
      <c r="L65" s="7"/>
      <c r="M65" s="7"/>
      <c r="N65" s="7"/>
      <c r="O65" s="7"/>
      <c r="P65" s="7"/>
      <c r="Q65" s="7"/>
      <c r="R65" s="7"/>
      <c r="S65" s="7"/>
      <c r="T65" s="7"/>
      <c r="U65" s="7"/>
      <c r="V65" s="7"/>
      <c r="W65" s="7"/>
      <c r="X65" s="7"/>
      <c r="Y65" s="7"/>
      <c r="Z65" s="7"/>
    </row>
    <row r="66" ht="12.75" customHeight="1">
      <c r="A66" s="7"/>
      <c r="B66" s="7"/>
    </row>
    <row r="67" ht="12.75" customHeight="1">
      <c r="A67" s="7" t="s">
        <v>122</v>
      </c>
      <c r="B67" s="7">
        <v>192.0</v>
      </c>
    </row>
    <row r="68" ht="12.75" customHeight="1">
      <c r="A68" s="7" t="s">
        <v>123</v>
      </c>
      <c r="B68" s="17">
        <f>'Aantal landdieren gedood'!B67/'Aantal landdieren gedood'!B10</f>
        <v>192.683237</v>
      </c>
    </row>
    <row r="69" ht="12.75" customHeight="1">
      <c r="A69" s="7"/>
      <c r="B69" s="17"/>
    </row>
    <row r="70" ht="12.75" customHeight="1">
      <c r="A70" s="7" t="s">
        <v>127</v>
      </c>
      <c r="B70" s="17">
        <f>326.6</f>
        <v>326.6</v>
      </c>
    </row>
    <row r="71" ht="12.75" customHeight="1">
      <c r="A71" s="8" t="s">
        <v>128</v>
      </c>
      <c r="B71" s="17">
        <f>'Aantal landdieren gedood'!B68/'Aantal landdieren gedood'!B70</f>
        <v>0.5899670453</v>
      </c>
    </row>
    <row r="72" ht="10.5" customHeight="1">
      <c r="A72" t="s">
        <v>129</v>
      </c>
      <c r="B72" s="17">
        <f>'Aantal landdieren gedood'!B71</f>
        <v>0.5899670453</v>
      </c>
    </row>
    <row r="73" ht="12.75" customHeight="1"/>
    <row r="74" ht="12.75" customHeight="1">
      <c r="A74" t="s">
        <v>130</v>
      </c>
      <c r="B74" s="31"/>
      <c r="C74" s="31"/>
      <c r="D74" s="31"/>
      <c r="E74" s="31"/>
      <c r="F74" s="31"/>
      <c r="G74" s="31"/>
      <c r="H74" s="31"/>
      <c r="I74" s="31"/>
      <c r="J74" s="7"/>
      <c r="K74" s="7"/>
      <c r="L74" s="7"/>
      <c r="M74" s="7"/>
      <c r="N74" s="7"/>
      <c r="O74" s="7"/>
      <c r="P74" s="7"/>
    </row>
    <row r="75" ht="12.75" customHeight="1">
      <c r="A75" s="32"/>
      <c r="B75" s="32"/>
      <c r="C75" s="32"/>
      <c r="D75" s="32"/>
      <c r="E75" s="32"/>
      <c r="F75" s="32"/>
      <c r="G75" s="32"/>
      <c r="H75" s="32"/>
      <c r="I75" s="32"/>
      <c r="J75" s="7"/>
      <c r="K75" s="7"/>
      <c r="L75" s="7"/>
      <c r="M75" s="7"/>
      <c r="N75" s="7"/>
      <c r="O75" s="7"/>
      <c r="P75" s="7"/>
      <c r="Q75" s="7"/>
      <c r="R75" s="7"/>
      <c r="S75" s="7"/>
      <c r="T75" s="7"/>
      <c r="U75" s="7"/>
      <c r="V75" s="7"/>
      <c r="W75" s="7"/>
      <c r="X75" s="7"/>
      <c r="Y75" s="7"/>
      <c r="Z75" s="7"/>
    </row>
    <row r="76" ht="12.75" customHeight="1"/>
    <row r="77" ht="24.0" customHeight="1">
      <c r="A77" s="1" t="s">
        <v>133</v>
      </c>
      <c r="B77" s="2"/>
      <c r="C77" s="2"/>
      <c r="D77" s="2"/>
      <c r="E77" s="2"/>
      <c r="F77" s="2"/>
      <c r="G77" s="2"/>
      <c r="H77" s="2"/>
      <c r="I77" s="3"/>
      <c r="J77" s="7"/>
    </row>
    <row r="78" ht="12.75" customHeight="1">
      <c r="A78" t="s">
        <v>134</v>
      </c>
    </row>
    <row r="79" ht="12.75" customHeight="1">
      <c r="A79" t="s">
        <v>135</v>
      </c>
      <c r="B79">
        <f>290.8*1000000</f>
        <v>290800000</v>
      </c>
    </row>
    <row r="80" ht="12.75" customHeight="1">
      <c r="A80" t="s">
        <v>136</v>
      </c>
      <c r="B80">
        <f>3.1*1000000</f>
        <v>3100000</v>
      </c>
    </row>
    <row r="81" ht="12.75" customHeight="1">
      <c r="A81" t="s">
        <v>137</v>
      </c>
      <c r="B81" s="17">
        <f>'Aantal landdieren gedood'!B79/'Aantal landdieren gedood'!B80</f>
        <v>93.80645161</v>
      </c>
    </row>
    <row r="82" ht="12.75" customHeight="1"/>
    <row r="83" ht="12.75" customHeight="1">
      <c r="A83" t="s">
        <v>138</v>
      </c>
    </row>
    <row r="84" ht="12.75" customHeight="1">
      <c r="A84" t="s">
        <v>139</v>
      </c>
      <c r="B84">
        <f>'Aantal landdieren gedood'!B71/'Aantal landdieren gedood'!B81</f>
        <v>0.006289194774</v>
      </c>
    </row>
    <row r="85" ht="12.75" customHeight="1">
      <c r="A85" t="s">
        <v>140</v>
      </c>
      <c r="B85">
        <f>'Aantal landdieren gedood'!B84</f>
        <v>0.006289194774</v>
      </c>
    </row>
    <row r="86" ht="12.75" customHeight="1"/>
    <row r="87" ht="12.75" customHeight="1">
      <c r="A87" s="14" t="s">
        <v>144</v>
      </c>
    </row>
    <row r="88" ht="12.75" customHeight="1"/>
    <row r="89" ht="24.0" customHeight="1">
      <c r="A89" s="1" t="s">
        <v>148</v>
      </c>
      <c r="B89" s="2"/>
      <c r="C89" s="2"/>
      <c r="D89" s="2"/>
      <c r="E89" s="2"/>
      <c r="F89" s="2"/>
      <c r="G89" s="2"/>
      <c r="H89" s="2"/>
      <c r="I89" s="3"/>
    </row>
    <row r="90" ht="12.0" customHeight="1">
      <c r="A90" s="4"/>
    </row>
    <row r="91" ht="12.75" customHeight="1">
      <c r="A91" t="s">
        <v>149</v>
      </c>
      <c r="B91" s="17">
        <f>'Aantal landdieren gedood'!B81</f>
        <v>93.80645161</v>
      </c>
    </row>
    <row r="92" ht="12.75" customHeight="1">
      <c r="A92" t="s">
        <v>150</v>
      </c>
      <c r="B92" s="17">
        <f>Overzicht!C13/B91</f>
        <v>0.1564545463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4:I4"/>
    <mergeCell ref="A1:I1"/>
    <mergeCell ref="A87:I87"/>
    <mergeCell ref="A89:I89"/>
    <mergeCell ref="A40:I40"/>
    <mergeCell ref="A38:I38"/>
    <mergeCell ref="A25:I26"/>
    <mergeCell ref="A28:I28"/>
    <mergeCell ref="A58:I63"/>
    <mergeCell ref="A77:I77"/>
    <mergeCell ref="A12:I13"/>
    <mergeCell ref="A65:I65"/>
    <mergeCell ref="A15:I15"/>
  </mergeCells>
  <hyperlinks>
    <hyperlink r:id="rId1" ref="A12"/>
    <hyperlink r:id="rId2" ref="A38"/>
    <hyperlink r:id="rId3" ref="A87"/>
  </hyperlinks>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3.86"/>
    <col customWidth="1" min="2" max="2" width="12.29"/>
    <col customWidth="1" min="3" max="3" width="24.29"/>
    <col customWidth="1" min="4" max="4" width="15.43"/>
    <col customWidth="1" min="5" max="5" width="15.29"/>
    <col customWidth="1" min="6" max="15" width="10.86"/>
    <col customWidth="1" min="16" max="16" width="11.71"/>
    <col customWidth="1" min="17" max="38" width="10.86"/>
  </cols>
  <sheetData>
    <row r="1" ht="35.25" customHeight="1">
      <c r="A1" s="1" t="s">
        <v>2</v>
      </c>
      <c r="B1" s="2"/>
      <c r="C1" s="2"/>
      <c r="D1" s="2"/>
      <c r="E1" s="2"/>
      <c r="F1" s="2"/>
      <c r="G1" s="2"/>
      <c r="H1" s="2"/>
      <c r="I1" s="2"/>
      <c r="J1" s="2"/>
      <c r="K1" s="3"/>
      <c r="L1" s="5"/>
      <c r="M1" s="9"/>
      <c r="N1" s="9"/>
      <c r="O1" s="9"/>
      <c r="P1" s="9"/>
      <c r="Q1" s="9"/>
      <c r="R1" s="9"/>
      <c r="S1" s="9"/>
      <c r="T1" s="9"/>
      <c r="U1" s="9"/>
      <c r="V1" s="9"/>
      <c r="W1" s="7"/>
      <c r="X1" s="7"/>
      <c r="Y1" s="7"/>
      <c r="Z1" s="7"/>
      <c r="AA1" s="7"/>
      <c r="AB1" s="7"/>
      <c r="AC1" s="7"/>
      <c r="AD1" s="7"/>
      <c r="AE1" s="7"/>
      <c r="AF1" s="7"/>
      <c r="AG1" s="7"/>
      <c r="AH1" s="7"/>
      <c r="AI1" s="7"/>
      <c r="AJ1" s="7"/>
      <c r="AK1" s="7"/>
      <c r="AL1" s="7"/>
    </row>
    <row r="2" ht="12.75" customHeight="1">
      <c r="A2" s="9"/>
      <c r="B2" s="9"/>
      <c r="C2" s="9"/>
      <c r="D2" s="9"/>
      <c r="E2" s="11"/>
      <c r="F2" s="5"/>
      <c r="G2" s="5"/>
      <c r="H2" s="5"/>
      <c r="I2" s="5"/>
      <c r="J2" s="5"/>
      <c r="K2" s="5"/>
      <c r="L2" s="5"/>
      <c r="M2" s="9"/>
      <c r="N2" s="9"/>
      <c r="O2" s="9"/>
      <c r="P2" s="9"/>
      <c r="Q2" s="9"/>
      <c r="R2" s="9"/>
      <c r="S2" s="9"/>
      <c r="T2" s="9"/>
      <c r="U2" s="9"/>
      <c r="V2" s="9"/>
      <c r="W2" s="7"/>
      <c r="X2" s="7"/>
      <c r="Y2" s="7"/>
      <c r="Z2" s="7"/>
      <c r="AA2" s="7"/>
      <c r="AB2" s="7"/>
      <c r="AC2" s="7"/>
      <c r="AD2" s="7"/>
      <c r="AE2" s="7"/>
      <c r="AF2" s="7"/>
      <c r="AG2" s="7"/>
      <c r="AH2" s="7"/>
      <c r="AI2" s="7"/>
      <c r="AJ2" s="7"/>
      <c r="AK2" s="7"/>
      <c r="AL2" s="7"/>
    </row>
    <row r="3" ht="45.75" customHeight="1">
      <c r="A3" s="1" t="s">
        <v>12</v>
      </c>
      <c r="B3" s="2"/>
      <c r="C3" s="2"/>
      <c r="D3" s="2"/>
      <c r="E3" s="2"/>
      <c r="F3" s="2"/>
      <c r="G3" s="2"/>
      <c r="H3" s="2"/>
      <c r="I3" s="2"/>
      <c r="J3" s="2"/>
      <c r="K3" s="3"/>
      <c r="L3" s="12"/>
      <c r="M3" s="9"/>
      <c r="N3" s="9"/>
      <c r="O3" s="9"/>
      <c r="P3" s="9"/>
      <c r="Q3" s="9"/>
      <c r="R3" s="9"/>
      <c r="S3" s="9"/>
      <c r="T3" s="9"/>
      <c r="U3" s="9"/>
      <c r="V3" s="9"/>
      <c r="W3" s="7"/>
      <c r="X3" s="7"/>
      <c r="Y3" s="7"/>
      <c r="Z3" s="7"/>
      <c r="AA3" s="7"/>
      <c r="AB3" s="7"/>
      <c r="AC3" s="7"/>
      <c r="AD3" s="7"/>
      <c r="AE3" s="7"/>
      <c r="AF3" s="7"/>
      <c r="AG3" s="7"/>
      <c r="AH3" s="7"/>
      <c r="AI3" s="7"/>
      <c r="AJ3" s="7"/>
      <c r="AK3" s="7"/>
      <c r="AL3" s="7"/>
    </row>
    <row r="4" ht="16.5" customHeight="1">
      <c r="A4" s="4"/>
      <c r="B4" s="11"/>
      <c r="C4" s="11"/>
      <c r="D4" s="11"/>
      <c r="E4" s="12"/>
      <c r="F4" s="12"/>
      <c r="G4" s="12"/>
      <c r="H4" s="12"/>
      <c r="I4" s="12"/>
      <c r="J4" s="12"/>
      <c r="K4" s="12"/>
      <c r="L4" s="12"/>
      <c r="M4" s="9"/>
      <c r="N4" s="9"/>
      <c r="O4" s="9"/>
      <c r="P4" s="9"/>
      <c r="Q4" s="9"/>
      <c r="R4" s="9"/>
      <c r="S4" s="9"/>
      <c r="T4" s="9"/>
      <c r="U4" s="9"/>
      <c r="V4" s="9"/>
      <c r="W4" s="7"/>
      <c r="X4" s="7"/>
      <c r="Y4" s="7"/>
      <c r="Z4" s="7"/>
      <c r="AA4" s="7"/>
      <c r="AB4" s="7"/>
      <c r="AC4" s="7"/>
      <c r="AD4" s="7"/>
      <c r="AE4" s="7"/>
      <c r="AF4" s="7"/>
      <c r="AG4" s="7"/>
      <c r="AH4" s="7"/>
      <c r="AI4" s="7"/>
      <c r="AJ4" s="7"/>
      <c r="AK4" s="7"/>
      <c r="AL4" s="7"/>
    </row>
    <row r="5" ht="51.75" customHeight="1">
      <c r="A5" s="1" t="s">
        <v>14</v>
      </c>
      <c r="B5" s="2"/>
      <c r="C5" s="2"/>
      <c r="D5" s="2"/>
      <c r="E5" s="2"/>
      <c r="F5" s="2"/>
      <c r="G5" s="2"/>
      <c r="H5" s="2"/>
      <c r="I5" s="2"/>
      <c r="J5" s="2"/>
      <c r="K5" s="3"/>
      <c r="L5" s="12"/>
      <c r="M5" s="9"/>
      <c r="N5" s="9"/>
      <c r="O5" s="9"/>
      <c r="P5" s="9"/>
      <c r="Q5" s="9"/>
      <c r="R5" s="9"/>
      <c r="S5" s="9"/>
      <c r="T5" s="9"/>
      <c r="U5" s="9"/>
      <c r="V5" s="9"/>
      <c r="W5" s="7"/>
      <c r="X5" s="7"/>
      <c r="Y5" s="7"/>
      <c r="Z5" s="7"/>
      <c r="AA5" s="7"/>
      <c r="AB5" s="7"/>
      <c r="AC5" s="7"/>
      <c r="AD5" s="7"/>
      <c r="AE5" s="7"/>
      <c r="AF5" s="7"/>
      <c r="AG5" s="7"/>
      <c r="AH5" s="7"/>
      <c r="AI5" s="7"/>
      <c r="AJ5" s="7"/>
      <c r="AK5" s="7"/>
      <c r="AL5" s="7"/>
    </row>
    <row r="6" ht="12.75" customHeight="1">
      <c r="A6" s="11"/>
      <c r="B6" s="11"/>
      <c r="C6" s="11"/>
      <c r="D6" s="11"/>
      <c r="E6" s="15"/>
      <c r="F6" s="12"/>
      <c r="G6" s="12"/>
      <c r="H6" s="16"/>
      <c r="I6" s="16"/>
      <c r="J6" s="16"/>
      <c r="K6" s="12"/>
      <c r="L6" s="12"/>
      <c r="M6" s="12"/>
      <c r="N6" s="12"/>
      <c r="O6" s="12"/>
      <c r="P6" s="12"/>
      <c r="Q6" s="12"/>
      <c r="R6" s="12"/>
      <c r="S6" s="12"/>
      <c r="T6" s="12"/>
      <c r="U6" s="12"/>
      <c r="V6" s="12"/>
      <c r="W6" s="7"/>
      <c r="X6" s="7"/>
      <c r="Y6" s="7"/>
      <c r="Z6" s="7"/>
      <c r="AA6" s="7"/>
      <c r="AB6" s="7"/>
      <c r="AC6" s="7"/>
      <c r="AD6" s="7"/>
      <c r="AE6" s="7"/>
      <c r="AF6" s="7"/>
      <c r="AG6" s="7"/>
      <c r="AH6" s="7"/>
      <c r="AI6" s="7"/>
      <c r="AJ6" s="7"/>
      <c r="AK6" s="7"/>
      <c r="AL6" s="7"/>
    </row>
    <row r="7" ht="12.75" customHeight="1">
      <c r="A7" s="18" t="s">
        <v>26</v>
      </c>
      <c r="B7" s="18"/>
      <c r="C7" s="18"/>
      <c r="D7" s="18"/>
      <c r="E7" s="19"/>
      <c r="F7" s="19"/>
      <c r="G7" s="19"/>
      <c r="H7" s="19"/>
      <c r="I7" s="19"/>
      <c r="J7" s="19"/>
      <c r="K7" s="19"/>
      <c r="L7" s="12"/>
      <c r="M7" s="12"/>
      <c r="N7" s="12"/>
      <c r="O7" s="12"/>
      <c r="P7" s="12"/>
      <c r="Q7" s="12"/>
      <c r="R7" s="12"/>
      <c r="S7" s="12"/>
      <c r="T7" s="12"/>
      <c r="U7" s="12"/>
      <c r="V7" s="12"/>
      <c r="W7" s="7"/>
      <c r="X7" s="7"/>
      <c r="Y7" s="7"/>
      <c r="Z7" s="7"/>
      <c r="AA7" s="7"/>
      <c r="AB7" s="7"/>
      <c r="AC7" s="7"/>
      <c r="AD7" s="7"/>
      <c r="AE7" s="7"/>
      <c r="AF7" s="7"/>
      <c r="AG7" s="7"/>
      <c r="AH7" s="7"/>
      <c r="AI7" s="7"/>
      <c r="AJ7" s="7"/>
      <c r="AK7" s="7"/>
      <c r="AL7" s="7"/>
    </row>
    <row r="8" ht="12.75" customHeight="1">
      <c r="A8" s="20"/>
      <c r="B8" s="20"/>
      <c r="C8" s="20"/>
      <c r="D8" s="20"/>
      <c r="E8" s="12"/>
      <c r="F8" s="12"/>
      <c r="G8" s="12"/>
      <c r="H8" s="12"/>
      <c r="I8" s="12"/>
      <c r="J8" s="12"/>
      <c r="K8" s="12"/>
      <c r="L8" s="12"/>
      <c r="M8" s="12"/>
      <c r="N8" s="12"/>
      <c r="O8" s="12"/>
      <c r="P8" s="12"/>
      <c r="Q8" s="12"/>
      <c r="R8" s="12"/>
      <c r="S8" s="12"/>
      <c r="T8" s="12"/>
      <c r="U8" s="12"/>
      <c r="V8" s="12"/>
      <c r="W8" s="7"/>
      <c r="X8" s="7"/>
      <c r="Y8" s="7"/>
      <c r="Z8" s="7"/>
      <c r="AA8" s="7"/>
      <c r="AB8" s="7"/>
      <c r="AC8" s="7"/>
      <c r="AD8" s="7"/>
      <c r="AE8" s="7"/>
      <c r="AF8" s="7"/>
      <c r="AG8" s="7"/>
      <c r="AH8" s="7"/>
      <c r="AI8" s="7"/>
      <c r="AJ8" s="7"/>
      <c r="AK8" s="7"/>
      <c r="AL8" s="7"/>
    </row>
    <row r="9" ht="12.75" customHeight="1">
      <c r="A9" s="9"/>
      <c r="B9" s="9"/>
      <c r="C9" s="9"/>
      <c r="D9" s="9"/>
      <c r="E9" s="12"/>
      <c r="F9" s="12"/>
      <c r="G9" s="12"/>
      <c r="H9" s="12"/>
      <c r="I9" s="12"/>
      <c r="J9" s="12"/>
      <c r="K9" s="12"/>
      <c r="L9" s="12"/>
      <c r="M9" s="12"/>
      <c r="N9" s="12"/>
      <c r="O9" s="12"/>
      <c r="P9" s="12"/>
      <c r="Q9" s="12"/>
      <c r="R9" s="12"/>
      <c r="S9" s="7"/>
      <c r="T9" s="7"/>
      <c r="U9" s="7"/>
      <c r="V9" s="12"/>
      <c r="W9" s="7"/>
      <c r="X9" s="7"/>
      <c r="Y9" s="7"/>
      <c r="Z9" s="7"/>
      <c r="AA9" s="7"/>
      <c r="AB9" s="7"/>
      <c r="AC9" s="7"/>
      <c r="AD9" s="7"/>
      <c r="AE9" s="7"/>
      <c r="AF9" s="7"/>
      <c r="AG9" s="7"/>
      <c r="AH9" s="7"/>
      <c r="AI9" s="7"/>
      <c r="AJ9" s="7"/>
      <c r="AK9" s="7"/>
      <c r="AL9" s="7"/>
    </row>
    <row r="10" ht="58.5" customHeight="1">
      <c r="A10" s="9"/>
      <c r="B10" s="9"/>
      <c r="C10" s="9"/>
      <c r="D10" s="22" t="s">
        <v>34</v>
      </c>
      <c r="F10" s="22" t="s">
        <v>36</v>
      </c>
      <c r="G10" s="23" t="s">
        <v>37</v>
      </c>
      <c r="H10" s="23" t="s">
        <v>39</v>
      </c>
      <c r="I10" s="22" t="s">
        <v>40</v>
      </c>
      <c r="J10" s="23" t="s">
        <v>41</v>
      </c>
      <c r="K10" s="22" t="s">
        <v>42</v>
      </c>
      <c r="L10" s="23" t="s">
        <v>43</v>
      </c>
      <c r="M10" s="8" t="s">
        <v>44</v>
      </c>
      <c r="N10" s="8" t="s">
        <v>45</v>
      </c>
      <c r="O10" s="22" t="s">
        <v>46</v>
      </c>
      <c r="P10" s="8" t="s">
        <v>47</v>
      </c>
      <c r="Q10" s="22" t="s">
        <v>48</v>
      </c>
      <c r="R10" s="8" t="s">
        <v>49</v>
      </c>
      <c r="S10" s="8"/>
      <c r="T10" s="7"/>
      <c r="U10" s="12"/>
      <c r="V10" s="22"/>
      <c r="W10" s="22"/>
      <c r="X10" s="8"/>
      <c r="Y10" s="12"/>
      <c r="Z10" s="7"/>
      <c r="AA10" s="8" t="s">
        <v>49</v>
      </c>
      <c r="AB10" s="7" t="s">
        <v>51</v>
      </c>
      <c r="AC10" s="7"/>
      <c r="AD10" s="7"/>
      <c r="AE10" s="7"/>
      <c r="AF10" s="7"/>
      <c r="AG10" s="7"/>
      <c r="AH10" s="7"/>
      <c r="AI10" s="7"/>
      <c r="AJ10" s="7"/>
      <c r="AK10" s="7"/>
      <c r="AL10" s="7"/>
    </row>
    <row r="11" ht="12.75" customHeight="1">
      <c r="A11" s="9"/>
      <c r="B11" s="9"/>
      <c r="C11" s="9"/>
      <c r="D11" s="12"/>
      <c r="F11" s="22" t="s">
        <v>52</v>
      </c>
      <c r="G11" s="23" t="s">
        <v>52</v>
      </c>
      <c r="H11" s="23" t="s">
        <v>53</v>
      </c>
      <c r="I11" s="22" t="s">
        <v>54</v>
      </c>
      <c r="J11" s="23" t="s">
        <v>53</v>
      </c>
      <c r="K11" s="22" t="s">
        <v>55</v>
      </c>
      <c r="L11" s="23" t="s">
        <v>56</v>
      </c>
      <c r="M11" s="7"/>
      <c r="N11" s="7"/>
      <c r="O11" s="12"/>
      <c r="P11" s="7"/>
      <c r="Q11" s="12"/>
      <c r="R11" s="7"/>
      <c r="S11" s="7"/>
      <c r="T11" s="7"/>
      <c r="U11" s="12"/>
      <c r="V11" s="12"/>
      <c r="W11" s="12"/>
      <c r="X11" s="7"/>
      <c r="Y11" s="12"/>
      <c r="Z11" s="7"/>
      <c r="AA11" s="7"/>
      <c r="AB11" s="7"/>
      <c r="AC11" s="7"/>
      <c r="AD11" s="7"/>
      <c r="AE11" s="7"/>
      <c r="AF11" s="7"/>
      <c r="AG11" s="7"/>
      <c r="AH11" s="7"/>
      <c r="AI11" s="7"/>
      <c r="AJ11" s="7"/>
      <c r="AK11" s="7"/>
      <c r="AL11" s="7"/>
    </row>
    <row r="12" ht="12.75" customHeight="1">
      <c r="A12" s="9"/>
      <c r="B12" s="9"/>
      <c r="C12" s="9"/>
      <c r="D12" s="9"/>
      <c r="E12" s="12"/>
      <c r="F12" s="22"/>
      <c r="G12" s="23"/>
      <c r="H12" s="23"/>
      <c r="I12" s="22"/>
      <c r="J12" s="23"/>
      <c r="K12" s="22"/>
      <c r="L12" s="23"/>
      <c r="M12" s="7"/>
      <c r="N12" s="7"/>
      <c r="O12" s="12"/>
      <c r="P12" s="7"/>
      <c r="Q12" s="12"/>
      <c r="R12" s="7"/>
      <c r="S12" s="7"/>
      <c r="T12" s="7"/>
      <c r="U12" s="12"/>
      <c r="V12" s="12"/>
      <c r="W12" s="12"/>
      <c r="X12" s="7"/>
      <c r="Y12" s="12"/>
      <c r="Z12" s="7"/>
      <c r="AA12" s="7"/>
      <c r="AB12" s="7"/>
      <c r="AC12" s="7"/>
      <c r="AD12" s="7"/>
      <c r="AE12" s="7"/>
      <c r="AF12" s="7"/>
      <c r="AG12" s="7"/>
      <c r="AH12" s="7"/>
      <c r="AI12" s="7"/>
      <c r="AJ12" s="7"/>
      <c r="AK12" s="7"/>
      <c r="AL12" s="7"/>
    </row>
    <row r="13" ht="12.75" customHeight="1">
      <c r="A13" s="9" t="s">
        <v>58</v>
      </c>
      <c r="B13" s="9"/>
      <c r="C13" s="9"/>
      <c r="D13" s="12" t="s">
        <v>59</v>
      </c>
      <c r="F13" s="12" t="s">
        <v>59</v>
      </c>
      <c r="G13" s="12" t="s">
        <v>59</v>
      </c>
      <c r="H13" s="12" t="s">
        <v>59</v>
      </c>
      <c r="I13" s="12" t="s">
        <v>59</v>
      </c>
      <c r="J13" s="12" t="s">
        <v>59</v>
      </c>
      <c r="K13" s="24">
        <v>14.744</v>
      </c>
      <c r="L13" s="25">
        <f>('Aantal zeedieren gedood'!L15+'Aantal zeedieren gedood'!L28+'Aantal zeedieren gedood'!L38+'Aantal zeedieren gedood'!L43+'Aantal zeedieren gedood'!L49+'Aantal zeedieren gedood'!L55+'Aantal zeedieren gedood'!L60+'Aantal zeedieren gedood'!L63+'Aantal zeedieren gedood'!L75+'Aantal zeedieren gedood'!L78)</f>
        <v>1057.041399</v>
      </c>
      <c r="M13" s="7"/>
      <c r="N13" s="7"/>
      <c r="O13" s="12"/>
      <c r="P13" s="7"/>
      <c r="Q13" s="12"/>
      <c r="R13" s="7"/>
      <c r="S13" s="7"/>
      <c r="T13" s="7"/>
      <c r="U13" s="12"/>
      <c r="V13" s="12"/>
      <c r="W13" s="7"/>
      <c r="X13" s="7"/>
      <c r="Y13" s="16"/>
      <c r="Z13" s="7"/>
      <c r="AA13" s="7"/>
      <c r="AB13" s="7"/>
      <c r="AC13" s="7"/>
      <c r="AD13" s="7"/>
      <c r="AE13" s="7"/>
      <c r="AF13" s="7"/>
      <c r="AG13" s="7"/>
      <c r="AH13" s="7"/>
      <c r="AI13" s="7"/>
      <c r="AJ13" s="7"/>
      <c r="AK13" s="7"/>
      <c r="AL13" s="7"/>
    </row>
    <row r="14" ht="12.75" customHeight="1">
      <c r="A14" s="9"/>
      <c r="B14" s="9"/>
      <c r="C14" s="9"/>
      <c r="D14" s="12"/>
      <c r="E14" s="12"/>
      <c r="F14" s="12"/>
      <c r="G14" s="12"/>
      <c r="H14" s="12"/>
      <c r="I14" s="12"/>
      <c r="J14" s="12"/>
      <c r="K14" s="24"/>
      <c r="L14" s="25"/>
      <c r="M14" s="7"/>
      <c r="N14" s="7"/>
      <c r="O14" s="12"/>
      <c r="P14" s="7"/>
      <c r="Q14" s="12"/>
      <c r="R14" s="7"/>
      <c r="S14" s="7"/>
      <c r="T14" s="7"/>
      <c r="U14" s="12"/>
      <c r="V14" s="12"/>
      <c r="W14" s="12"/>
      <c r="X14" s="7"/>
      <c r="Y14" s="16"/>
      <c r="Z14" s="7"/>
      <c r="AA14" s="7"/>
      <c r="AB14" s="7"/>
      <c r="AC14" s="7"/>
      <c r="AD14" s="7"/>
      <c r="AE14" s="7"/>
      <c r="AF14" s="7"/>
      <c r="AG14" s="7"/>
      <c r="AH14" s="7"/>
      <c r="AI14" s="7"/>
      <c r="AJ14" s="7"/>
      <c r="AK14" s="7"/>
      <c r="AL14" s="7"/>
    </row>
    <row r="15" ht="12.75" customHeight="1">
      <c r="A15" s="9"/>
      <c r="B15" s="9" t="s">
        <v>71</v>
      </c>
      <c r="C15" s="9"/>
      <c r="D15" s="12" t="s">
        <v>59</v>
      </c>
      <c r="F15" s="12" t="s">
        <v>59</v>
      </c>
      <c r="G15" s="12" t="s">
        <v>59</v>
      </c>
      <c r="H15" s="12" t="s">
        <v>59</v>
      </c>
      <c r="I15" s="12" t="s">
        <v>59</v>
      </c>
      <c r="J15" s="12" t="s">
        <v>59</v>
      </c>
      <c r="K15" s="24">
        <v>3.102</v>
      </c>
      <c r="L15" s="25">
        <f>SUM('Aantal zeedieren gedood'!L16:L26)</f>
        <v>1.337694623</v>
      </c>
      <c r="M15" s="17"/>
      <c r="N15" s="7"/>
      <c r="O15" s="12"/>
      <c r="P15" s="7"/>
      <c r="Q15" s="12"/>
      <c r="R15" s="7"/>
      <c r="S15" s="7"/>
      <c r="T15" s="7"/>
      <c r="U15" s="12"/>
      <c r="V15" s="12"/>
      <c r="W15" s="12"/>
      <c r="X15" s="7"/>
      <c r="Y15" s="16"/>
      <c r="Z15" s="7"/>
      <c r="AA15" s="7"/>
      <c r="AB15" s="7"/>
      <c r="AC15" s="7"/>
      <c r="AD15" s="7"/>
      <c r="AE15" s="7"/>
      <c r="AF15" s="7"/>
      <c r="AG15" s="7"/>
      <c r="AH15" s="7"/>
      <c r="AI15" s="7"/>
      <c r="AJ15" s="7"/>
      <c r="AK15" s="7"/>
      <c r="AL15" s="7"/>
    </row>
    <row r="16" ht="12.75" customHeight="1">
      <c r="A16" s="9"/>
      <c r="B16" s="9"/>
      <c r="C16" s="9" t="s">
        <v>72</v>
      </c>
      <c r="D16" s="26" t="s">
        <v>73</v>
      </c>
      <c r="F16" s="12" t="s">
        <v>75</v>
      </c>
      <c r="G16" s="25">
        <f>((1+8)/2)</f>
        <v>4.5</v>
      </c>
      <c r="H16" s="25">
        <f>(('Aantal zeedieren gedood'!G16+'Aantal zeedieren gedood'!G17)/2)</f>
        <v>3.25</v>
      </c>
      <c r="I16" s="16">
        <v>1.18</v>
      </c>
      <c r="J16" s="25">
        <f>('Aantal zeedieren gedood'!H16/'Aantal zeedieren gedood'!I16)</f>
        <v>2.754237288</v>
      </c>
      <c r="K16" s="24">
        <v>0.563</v>
      </c>
      <c r="L16" s="25">
        <f>('Aantal zeedieren gedood'!K16/'Aantal zeedieren gedood'!J16)</f>
        <v>0.2044123077</v>
      </c>
      <c r="M16" s="17">
        <f>'Aantal zeedieren gedood'!L16</f>
        <v>0.2044123077</v>
      </c>
      <c r="N16" s="7"/>
      <c r="O16" s="16">
        <f>765/(20+765)</f>
        <v>0.974522293</v>
      </c>
      <c r="P16" s="17">
        <f>'Aantal zeedieren gedood'!O16*'Aantal zeedieren gedood'!M16</f>
        <v>0.1992043508</v>
      </c>
      <c r="Q16" s="12">
        <v>24.0</v>
      </c>
      <c r="R16" s="17">
        <f>'Aantal zeedieren gedood'!P16*'Aantal zeedieren gedood'!Q16</f>
        <v>4.780904419</v>
      </c>
      <c r="S16" s="7"/>
      <c r="T16" s="7"/>
      <c r="U16" s="12"/>
      <c r="V16" s="12"/>
      <c r="W16" s="12"/>
      <c r="X16" s="27"/>
      <c r="Y16" s="28"/>
      <c r="Z16" s="7"/>
      <c r="AA16" s="7">
        <f>'Aantal zeedieren gedood'!W16*'Aantal zeedieren gedood'!O16</f>
        <v>0</v>
      </c>
      <c r="AB16" s="7">
        <f>'Aantal zeedieren gedood'!O16*'Aantal zeedieren gedood'!L16</f>
        <v>0.1992043508</v>
      </c>
      <c r="AC16" s="7"/>
      <c r="AD16" s="7"/>
      <c r="AE16" s="7"/>
      <c r="AF16" s="7"/>
      <c r="AG16" s="7"/>
      <c r="AH16" s="7"/>
      <c r="AI16" s="7"/>
      <c r="AJ16" s="7"/>
      <c r="AK16" s="7"/>
      <c r="AL16" s="7"/>
    </row>
    <row r="17" ht="12.75" customHeight="1">
      <c r="A17" s="9"/>
      <c r="B17" s="9"/>
      <c r="C17" s="9"/>
      <c r="D17" s="26" t="s">
        <v>83</v>
      </c>
      <c r="F17" s="12" t="s">
        <v>84</v>
      </c>
      <c r="G17" s="25">
        <f>((1+3)/2)</f>
        <v>2</v>
      </c>
      <c r="H17" s="25"/>
      <c r="I17" s="16">
        <f>((1.18+1.18+1.2+1.18+1.24+1.17+1.18+1.19+1.11+1.17+1.22+1.18+1.15+1.15+1.17)/15)</f>
        <v>1.178</v>
      </c>
      <c r="J17" s="25"/>
      <c r="K17" s="24"/>
      <c r="L17" s="25"/>
      <c r="M17" s="7"/>
      <c r="N17" s="7"/>
      <c r="O17" s="16"/>
      <c r="P17" s="17"/>
      <c r="Q17" s="12"/>
      <c r="R17" s="17"/>
      <c r="S17" s="7"/>
      <c r="T17" s="7"/>
      <c r="U17" s="12"/>
      <c r="V17" s="12"/>
      <c r="W17" s="12"/>
      <c r="X17" s="7"/>
      <c r="Y17" s="16"/>
      <c r="Z17" s="7"/>
      <c r="AA17" s="7"/>
      <c r="AB17" s="7"/>
      <c r="AC17" s="7"/>
      <c r="AD17" s="7"/>
      <c r="AE17" s="7"/>
      <c r="AF17" s="7"/>
      <c r="AG17" s="7"/>
      <c r="AH17" s="7"/>
      <c r="AI17" s="7"/>
      <c r="AJ17" s="7"/>
      <c r="AK17" s="7"/>
      <c r="AL17" s="7"/>
    </row>
    <row r="18" ht="12.75" customHeight="1">
      <c r="A18" s="9" t="s">
        <v>93</v>
      </c>
      <c r="B18" s="9"/>
      <c r="C18" s="9" t="s">
        <v>94</v>
      </c>
      <c r="D18" s="26" t="s">
        <v>95</v>
      </c>
      <c r="F18" s="12" t="s">
        <v>96</v>
      </c>
      <c r="G18" s="25">
        <f>((2+10)/2)</f>
        <v>6</v>
      </c>
      <c r="H18" s="25">
        <f>(('Aantal zeedieren gedood'!G18+'Aantal zeedieren gedood'!G19)/2)</f>
        <v>4.75</v>
      </c>
      <c r="I18" s="16">
        <v>1.12</v>
      </c>
      <c r="J18" s="25">
        <f>('Aantal zeedieren gedood'!H18/'Aantal zeedieren gedood'!I18)</f>
        <v>4.241071429</v>
      </c>
      <c r="K18" s="24">
        <v>0.442</v>
      </c>
      <c r="L18" s="25">
        <f>('Aantal zeedieren gedood'!K18/'Aantal zeedieren gedood'!J18)</f>
        <v>0.1042189474</v>
      </c>
      <c r="M18" s="17">
        <f>'Aantal zeedieren gedood'!L18</f>
        <v>0.1042189474</v>
      </c>
      <c r="N18" s="7"/>
      <c r="O18" s="16">
        <v>0.69</v>
      </c>
      <c r="P18" s="17">
        <f>'Aantal zeedieren gedood'!O18*'Aantal zeedieren gedood'!M18</f>
        <v>0.07191107368</v>
      </c>
      <c r="Q18" s="12">
        <v>29.0</v>
      </c>
      <c r="R18" s="17">
        <f>'Aantal zeedieren gedood'!P18*'Aantal zeedieren gedood'!Q18</f>
        <v>2.085421137</v>
      </c>
      <c r="S18" s="7"/>
      <c r="T18" s="7"/>
      <c r="U18" s="12"/>
      <c r="V18" s="12"/>
      <c r="W18" s="12"/>
      <c r="X18" s="27"/>
      <c r="Y18" s="16"/>
      <c r="Z18" s="7"/>
      <c r="AA18" s="7">
        <f>'Aantal zeedieren gedood'!W18*'Aantal zeedieren gedood'!O18</f>
        <v>0</v>
      </c>
      <c r="AB18" s="7">
        <f>'Aantal zeedieren gedood'!O18*'Aantal zeedieren gedood'!L18</f>
        <v>0.07191107368</v>
      </c>
      <c r="AC18" s="7"/>
      <c r="AD18" s="7"/>
      <c r="AE18" s="7"/>
      <c r="AF18" s="7"/>
      <c r="AG18" s="7"/>
      <c r="AH18" s="7"/>
      <c r="AI18" s="7"/>
      <c r="AJ18" s="7"/>
      <c r="AK18" s="7"/>
      <c r="AL18" s="7"/>
    </row>
    <row r="19" ht="12.75" customHeight="1">
      <c r="A19" s="9"/>
      <c r="B19" s="9"/>
      <c r="C19" s="9"/>
      <c r="D19" s="26" t="s">
        <v>100</v>
      </c>
      <c r="F19" s="12" t="s">
        <v>101</v>
      </c>
      <c r="G19" s="25">
        <f>((1+6)/2)</f>
        <v>3.5</v>
      </c>
      <c r="H19" s="25"/>
      <c r="I19" s="16">
        <f>((1.1+1.11+1.15+1.122+1.15+1.1)/6)</f>
        <v>1.122</v>
      </c>
      <c r="J19" s="25"/>
      <c r="K19" s="24"/>
      <c r="L19" s="25"/>
      <c r="M19" s="7"/>
      <c r="N19" s="7"/>
      <c r="O19" s="16"/>
      <c r="P19" s="17"/>
      <c r="Q19" s="12"/>
      <c r="R19" s="17"/>
      <c r="S19" s="7"/>
      <c r="T19" s="7"/>
      <c r="U19" s="12"/>
      <c r="V19" s="12"/>
      <c r="W19" s="12"/>
      <c r="X19" s="7"/>
      <c r="Y19" s="16"/>
      <c r="Z19" s="7"/>
      <c r="AA19" s="7"/>
      <c r="AB19" s="7"/>
      <c r="AC19" s="7"/>
      <c r="AD19" s="7"/>
      <c r="AE19" s="7"/>
      <c r="AF19" s="7"/>
      <c r="AG19" s="7"/>
      <c r="AH19" s="7"/>
      <c r="AI19" s="7"/>
      <c r="AJ19" s="7"/>
      <c r="AK19" s="7"/>
      <c r="AL19" s="7"/>
    </row>
    <row r="20" ht="12.75" customHeight="1">
      <c r="A20" s="9"/>
      <c r="B20" s="9"/>
      <c r="C20" s="9" t="s">
        <v>107</v>
      </c>
      <c r="D20" s="26" t="s">
        <v>108</v>
      </c>
      <c r="F20" s="12" t="s">
        <v>109</v>
      </c>
      <c r="G20" s="30">
        <f>((0.5+2)/2)</f>
        <v>1.25</v>
      </c>
      <c r="H20" s="25">
        <f>'Aantal zeedieren gedood'!G20</f>
        <v>1.25</v>
      </c>
      <c r="I20" s="16">
        <f>((1.05+1.05+1.04+1.05+1.05+1.11+1.04+1.04+1.04+1.05)/10)</f>
        <v>1.052</v>
      </c>
      <c r="J20" s="25">
        <f>('Aantal zeedieren gedood'!H20/'Aantal zeedieren gedood'!I20)</f>
        <v>1.188212928</v>
      </c>
      <c r="K20" s="24">
        <v>0.251</v>
      </c>
      <c r="L20" s="25">
        <f>('Aantal zeedieren gedood'!K20/'Aantal zeedieren gedood'!J20)</f>
        <v>0.2112416</v>
      </c>
      <c r="M20" s="17">
        <f>'Aantal zeedieren gedood'!L20</f>
        <v>0.2112416</v>
      </c>
      <c r="N20" s="7"/>
      <c r="O20" s="16"/>
      <c r="P20" s="17"/>
      <c r="Q20" s="12"/>
      <c r="R20" s="17"/>
      <c r="S20" s="7"/>
      <c r="T20" s="7"/>
      <c r="U20" s="12"/>
      <c r="V20" s="12"/>
      <c r="W20" s="12"/>
      <c r="X20" s="7"/>
      <c r="Y20" s="16"/>
      <c r="Z20" s="7"/>
      <c r="AA20" s="7"/>
      <c r="AB20" s="7"/>
      <c r="AC20" s="7"/>
      <c r="AD20" s="7"/>
      <c r="AE20" s="7"/>
      <c r="AF20" s="7"/>
      <c r="AG20" s="7"/>
      <c r="AH20" s="7"/>
      <c r="AI20" s="7"/>
      <c r="AJ20" s="7"/>
      <c r="AK20" s="7"/>
      <c r="AL20" s="7"/>
    </row>
    <row r="21" ht="12.75" customHeight="1">
      <c r="A21" s="9" t="s">
        <v>115</v>
      </c>
      <c r="B21" s="9"/>
      <c r="C21" s="9" t="s">
        <v>116</v>
      </c>
      <c r="D21" s="26" t="s">
        <v>117</v>
      </c>
      <c r="F21" s="12" t="s">
        <v>118</v>
      </c>
      <c r="G21" s="25">
        <f>((2+4)/2)</f>
        <v>3</v>
      </c>
      <c r="H21" s="25">
        <f>'Aantal zeedieren gedood'!G21</f>
        <v>3</v>
      </c>
      <c r="I21" s="12">
        <v>1.09</v>
      </c>
      <c r="J21" s="25">
        <f>('Aantal zeedieren gedood'!H21/'Aantal zeedieren gedood'!I21)</f>
        <v>2.752293578</v>
      </c>
      <c r="K21" s="24">
        <v>0.216</v>
      </c>
      <c r="L21" s="25">
        <f>('Aantal zeedieren gedood'!K21/'Aantal zeedieren gedood'!J21)</f>
        <v>0.07848</v>
      </c>
      <c r="M21" s="17">
        <f>'Aantal zeedieren gedood'!L21</f>
        <v>0.07848</v>
      </c>
      <c r="N21" s="7"/>
      <c r="O21" s="16"/>
      <c r="P21" s="17"/>
      <c r="Q21" s="12"/>
      <c r="R21" s="17"/>
      <c r="S21" s="7"/>
      <c r="T21" s="7"/>
      <c r="U21" s="12"/>
      <c r="V21" s="12"/>
      <c r="W21" s="12"/>
      <c r="X21" s="7"/>
      <c r="Y21" s="16"/>
      <c r="Z21" s="7"/>
      <c r="AA21" s="7"/>
      <c r="AB21" s="7"/>
      <c r="AC21" s="7"/>
      <c r="AD21" s="7"/>
      <c r="AE21" s="7"/>
      <c r="AF21" s="7"/>
      <c r="AG21" s="7"/>
      <c r="AH21" s="7"/>
      <c r="AI21" s="7"/>
      <c r="AJ21" s="7"/>
      <c r="AK21" s="7"/>
      <c r="AL21" s="7"/>
    </row>
    <row r="22" ht="12.75" customHeight="1">
      <c r="A22" s="9"/>
      <c r="B22" s="9"/>
      <c r="C22" s="9" t="s">
        <v>124</v>
      </c>
      <c r="D22" s="26" t="s">
        <v>125</v>
      </c>
      <c r="F22" s="12">
        <v>1.1</v>
      </c>
      <c r="G22" s="25">
        <f>'Aantal zeedieren gedood'!F22</f>
        <v>1.1</v>
      </c>
      <c r="H22" s="25">
        <f>'Aantal zeedieren gedood'!G22</f>
        <v>1.1</v>
      </c>
      <c r="I22" s="16">
        <f>((1.05+1.05+1.11+1.06+1.05+1.1+1.11+1.05+1.04+1.05+1.07)/11)</f>
        <v>1.067272727</v>
      </c>
      <c r="J22" s="25">
        <f>('Aantal zeedieren gedood'!H22/'Aantal zeedieren gedood'!I22)</f>
        <v>1.030664395</v>
      </c>
      <c r="K22" s="24">
        <v>0.148</v>
      </c>
      <c r="L22" s="25">
        <f>('Aantal zeedieren gedood'!K22/'Aantal zeedieren gedood'!J22)</f>
        <v>0.1435966942</v>
      </c>
      <c r="M22" s="17">
        <f>'Aantal zeedieren gedood'!L22</f>
        <v>0.1435966942</v>
      </c>
      <c r="N22" s="7"/>
      <c r="O22" s="16"/>
      <c r="P22" s="17"/>
      <c r="Q22" s="12"/>
      <c r="R22" s="17"/>
      <c r="S22" s="7"/>
      <c r="T22" s="7"/>
      <c r="U22" s="12"/>
      <c r="V22" s="12"/>
      <c r="W22" s="12"/>
      <c r="X22" s="7"/>
      <c r="Y22" s="16"/>
      <c r="Z22" s="7"/>
      <c r="AA22" s="7"/>
      <c r="AB22" s="7"/>
      <c r="AC22" s="7"/>
      <c r="AD22" s="7"/>
      <c r="AE22" s="7"/>
      <c r="AF22" s="7"/>
      <c r="AG22" s="7"/>
      <c r="AH22" s="7"/>
      <c r="AI22" s="7"/>
      <c r="AJ22" s="7"/>
      <c r="AK22" s="7"/>
      <c r="AL22" s="7"/>
    </row>
    <row r="23" ht="12.75" customHeight="1">
      <c r="A23" s="9"/>
      <c r="B23" s="9"/>
      <c r="C23" s="9" t="s">
        <v>131</v>
      </c>
      <c r="D23" s="26" t="s">
        <v>132</v>
      </c>
      <c r="F23" s="12" t="s">
        <v>84</v>
      </c>
      <c r="G23" s="25">
        <f>((1+3)/2)</f>
        <v>2</v>
      </c>
      <c r="H23" s="25">
        <f>(('Aantal zeedieren gedood'!G23+'Aantal zeedieren gedood'!G24)/2)</f>
        <v>2.125</v>
      </c>
      <c r="I23" s="12">
        <v>1.12</v>
      </c>
      <c r="J23" s="25">
        <f>('Aantal zeedieren gedood'!H23/'Aantal zeedieren gedood'!I23)</f>
        <v>1.897321429</v>
      </c>
      <c r="K23" s="24">
        <v>0.121</v>
      </c>
      <c r="L23" s="25">
        <f>('Aantal zeedieren gedood'!K23/'Aantal zeedieren gedood'!J23)</f>
        <v>0.06377411765</v>
      </c>
      <c r="M23" s="17">
        <f>'Aantal zeedieren gedood'!L23</f>
        <v>0.06377411765</v>
      </c>
      <c r="N23" s="7"/>
      <c r="O23" s="16">
        <v>1.0</v>
      </c>
      <c r="P23" s="17">
        <f>'Aantal zeedieren gedood'!O23*'Aantal zeedieren gedood'!M23</f>
        <v>0.06377411765</v>
      </c>
      <c r="Q23" s="12">
        <v>9.0</v>
      </c>
      <c r="R23" s="17">
        <f>'Aantal zeedieren gedood'!P23*'Aantal zeedieren gedood'!Q23</f>
        <v>0.5739670588</v>
      </c>
      <c r="S23" s="7"/>
      <c r="T23" s="7"/>
      <c r="U23" s="12"/>
      <c r="V23" s="12"/>
      <c r="W23" s="12"/>
      <c r="X23" s="27"/>
      <c r="Y23" s="16"/>
      <c r="Z23" s="7"/>
      <c r="AA23" s="7">
        <f>'Aantal zeedieren gedood'!W23*'Aantal zeedieren gedood'!O23</f>
        <v>0</v>
      </c>
      <c r="AB23" s="7">
        <f>'Aantal zeedieren gedood'!O23*'Aantal zeedieren gedood'!L23</f>
        <v>0.06377411765</v>
      </c>
      <c r="AC23" s="7"/>
      <c r="AD23" s="7"/>
      <c r="AE23" s="7"/>
      <c r="AF23" s="7"/>
      <c r="AG23" s="7"/>
      <c r="AH23" s="7"/>
      <c r="AI23" s="7"/>
      <c r="AJ23" s="7"/>
      <c r="AK23" s="7"/>
      <c r="AL23" s="7"/>
    </row>
    <row r="24" ht="12.75" customHeight="1">
      <c r="A24" s="9"/>
      <c r="B24" s="9"/>
      <c r="C24" s="9"/>
      <c r="D24" s="26" t="s">
        <v>141</v>
      </c>
      <c r="F24" s="12" t="s">
        <v>142</v>
      </c>
      <c r="G24" s="25">
        <f>((0.5+4)/2)</f>
        <v>2.25</v>
      </c>
      <c r="H24" s="30"/>
      <c r="I24" s="12">
        <v>1.12</v>
      </c>
      <c r="J24" s="25"/>
      <c r="K24" s="24"/>
      <c r="L24" s="25"/>
      <c r="M24" s="7"/>
      <c r="N24" s="7"/>
      <c r="O24" s="16"/>
      <c r="P24" s="17"/>
      <c r="Q24" s="12"/>
      <c r="R24" s="17"/>
      <c r="S24" s="7"/>
      <c r="T24" s="7"/>
      <c r="U24" s="12"/>
      <c r="V24" s="12"/>
      <c r="W24" s="12"/>
      <c r="X24" s="7"/>
      <c r="Y24" s="16"/>
      <c r="Z24" s="7"/>
      <c r="AA24" s="7"/>
      <c r="AB24" s="7"/>
      <c r="AC24" s="7"/>
      <c r="AD24" s="7"/>
      <c r="AE24" s="7"/>
      <c r="AF24" s="7"/>
      <c r="AG24" s="7"/>
      <c r="AH24" s="7"/>
      <c r="AI24" s="7"/>
      <c r="AJ24" s="7"/>
      <c r="AK24" s="7"/>
      <c r="AL24" s="7"/>
    </row>
    <row r="25" ht="12.75" customHeight="1">
      <c r="A25" s="9"/>
      <c r="B25" s="9"/>
      <c r="C25" s="9" t="s">
        <v>145</v>
      </c>
      <c r="D25" s="26" t="s">
        <v>146</v>
      </c>
      <c r="F25" s="12" t="s">
        <v>147</v>
      </c>
      <c r="G25" s="25">
        <f>((1+5)/2)</f>
        <v>3</v>
      </c>
      <c r="H25" s="25">
        <f>'Aantal zeedieren gedood'!G25</f>
        <v>3</v>
      </c>
      <c r="I25" s="16">
        <f>((1.1+1.2+1.1+1.2+1.2+1.1+1.16+1.14)/8)</f>
        <v>1.15</v>
      </c>
      <c r="J25" s="25">
        <f>('Aantal zeedieren gedood'!H25/'Aantal zeedieren gedood'!I25)</f>
        <v>2.608695652</v>
      </c>
      <c r="K25" s="24">
        <v>0.118</v>
      </c>
      <c r="L25" s="25">
        <f>('Aantal zeedieren gedood'!K25/'Aantal zeedieren gedood'!J25)</f>
        <v>0.04523333333</v>
      </c>
      <c r="M25" s="17">
        <f>'Aantal zeedieren gedood'!L25</f>
        <v>0.04523333333</v>
      </c>
      <c r="N25" s="7"/>
      <c r="O25" s="16"/>
      <c r="P25" s="17"/>
      <c r="Q25" s="12"/>
      <c r="R25" s="17"/>
      <c r="S25" s="7"/>
      <c r="T25" s="7"/>
      <c r="U25" s="12"/>
      <c r="V25" s="12"/>
      <c r="W25" s="12"/>
      <c r="X25" s="7"/>
      <c r="Y25" s="16"/>
      <c r="Z25" s="7"/>
      <c r="AA25" s="7"/>
      <c r="AB25" s="7"/>
      <c r="AC25" s="7"/>
      <c r="AD25" s="7"/>
      <c r="AE25" s="7"/>
      <c r="AF25" s="7"/>
      <c r="AG25" s="7"/>
      <c r="AH25" s="7"/>
      <c r="AI25" s="7"/>
      <c r="AJ25" s="7"/>
      <c r="AK25" s="7"/>
      <c r="AL25" s="7"/>
    </row>
    <row r="26" ht="12.75" customHeight="1">
      <c r="A26" s="9"/>
      <c r="B26" s="9"/>
      <c r="C26" s="33" t="s">
        <v>151</v>
      </c>
      <c r="D26" s="34" t="s">
        <v>152</v>
      </c>
      <c r="F26" s="30" t="s">
        <v>152</v>
      </c>
      <c r="G26" s="25">
        <f>(SUM('Aantal zeedieren gedood'!G16:G25)/10)</f>
        <v>2.86</v>
      </c>
      <c r="H26" s="25">
        <f>'Aantal zeedieren gedood'!G26</f>
        <v>2.86</v>
      </c>
      <c r="I26" s="25">
        <f>(SUM('Aantal zeedieren gedood'!I16:I25)/10)</f>
        <v>1.119927273</v>
      </c>
      <c r="J26" s="25">
        <f>('Aantal zeedieren gedood'!H26/'Aantal zeedieren gedood'!I26)</f>
        <v>2.553737256</v>
      </c>
      <c r="K26" s="35">
        <f>('Aantal zeedieren gedood'!K15-SUM('Aantal zeedieren gedood'!K16:K25))</f>
        <v>1.243</v>
      </c>
      <c r="L26" s="25">
        <f>('Aantal zeedieren gedood'!K26/'Aantal zeedieren gedood'!J26)</f>
        <v>0.4867376224</v>
      </c>
      <c r="M26" s="17">
        <f>'Aantal zeedieren gedood'!L26</f>
        <v>0.4867376224</v>
      </c>
      <c r="N26" s="7"/>
      <c r="O26" s="16">
        <f>('Aantal zeedieren gedood'!O16*'Aantal zeedieren gedood'!L16+'Aantal zeedieren gedood'!O18*'Aantal zeedieren gedood'!L18+'Aantal zeedieren gedood'!O23*'Aantal zeedieren gedood'!L23)/'Aantal zeedieren gedood'!L15</f>
        <v>0.2503482757</v>
      </c>
      <c r="P26" s="17">
        <f>'Aantal zeedieren gedood'!O26*'Aantal zeedieren gedood'!M26</f>
        <v>0.1218539245</v>
      </c>
      <c r="Q26" s="16">
        <f>AVERAGE('Aantal zeedieren gedood'!Q16:Q25)</f>
        <v>20.66666667</v>
      </c>
      <c r="R26" s="17">
        <f>'Aantal zeedieren gedood'!P26*'Aantal zeedieren gedood'!Q26</f>
        <v>2.518314439</v>
      </c>
      <c r="S26" s="7"/>
      <c r="T26" s="7"/>
      <c r="U26" s="12"/>
      <c r="V26" s="12"/>
      <c r="W26" s="12"/>
      <c r="X26" s="27"/>
      <c r="Y26" s="16"/>
      <c r="Z26" s="7"/>
      <c r="AA26" s="7">
        <f>'Aantal zeedieren gedood'!W26*'Aantal zeedieren gedood'!O26</f>
        <v>0</v>
      </c>
      <c r="AB26" s="7">
        <f>'Aantal zeedieren gedood'!O26*'Aantal zeedieren gedood'!L26</f>
        <v>0.1218539245</v>
      </c>
      <c r="AC26" s="7"/>
      <c r="AD26" s="7"/>
      <c r="AE26" s="7"/>
      <c r="AF26" s="7"/>
      <c r="AG26" s="7"/>
      <c r="AH26" s="7"/>
      <c r="AI26" s="7"/>
      <c r="AJ26" s="7"/>
      <c r="AK26" s="7"/>
      <c r="AL26" s="7"/>
    </row>
    <row r="27" ht="12.75" customHeight="1">
      <c r="A27" s="9"/>
      <c r="B27" s="9"/>
      <c r="C27" s="33"/>
      <c r="D27" s="30"/>
      <c r="E27" s="30"/>
      <c r="F27" s="30"/>
      <c r="G27" s="25"/>
      <c r="H27" s="25"/>
      <c r="I27" s="25"/>
      <c r="J27" s="25"/>
      <c r="K27" s="35"/>
      <c r="L27" s="25"/>
      <c r="M27" s="7"/>
      <c r="N27" s="7"/>
      <c r="O27" s="16"/>
      <c r="P27" s="17"/>
      <c r="Q27" s="12"/>
      <c r="R27" s="17"/>
      <c r="S27" s="7"/>
      <c r="T27" s="7"/>
      <c r="U27" s="12"/>
      <c r="V27" s="12"/>
      <c r="W27" s="12"/>
      <c r="X27" s="7"/>
      <c r="Y27" s="16"/>
      <c r="Z27" s="7"/>
      <c r="AA27" s="7"/>
      <c r="AB27" s="7"/>
      <c r="AC27" s="7"/>
      <c r="AD27" s="7"/>
      <c r="AE27" s="7"/>
      <c r="AF27" s="7"/>
      <c r="AG27" s="7"/>
      <c r="AH27" s="7"/>
      <c r="AI27" s="7"/>
      <c r="AJ27" s="7"/>
      <c r="AK27" s="7"/>
      <c r="AL27" s="7"/>
    </row>
    <row r="28" ht="12.75" customHeight="1">
      <c r="A28" s="9"/>
      <c r="B28" s="9" t="s">
        <v>157</v>
      </c>
      <c r="C28" s="9"/>
      <c r="D28" s="12" t="s">
        <v>59</v>
      </c>
      <c r="F28" s="12" t="s">
        <v>59</v>
      </c>
      <c r="G28" s="12" t="s">
        <v>59</v>
      </c>
      <c r="H28" s="12" t="s">
        <v>59</v>
      </c>
      <c r="I28" s="12" t="s">
        <v>59</v>
      </c>
      <c r="J28" s="12" t="s">
        <v>59</v>
      </c>
      <c r="K28" s="24">
        <v>1.114</v>
      </c>
      <c r="L28" s="25">
        <f>SUM('Aantal zeedieren gedood'!L29:L36)</f>
        <v>0.6610146335</v>
      </c>
      <c r="M28" s="17"/>
      <c r="N28" s="7"/>
      <c r="O28" s="16"/>
      <c r="P28" s="17"/>
      <c r="Q28" s="12"/>
      <c r="R28" s="17"/>
      <c r="S28" s="7"/>
      <c r="T28" s="7"/>
      <c r="U28" s="12"/>
      <c r="V28" s="12"/>
      <c r="W28" s="12"/>
      <c r="X28" s="7"/>
      <c r="Y28" s="16"/>
      <c r="Z28" s="7"/>
      <c r="AA28" s="7"/>
      <c r="AB28" s="7"/>
      <c r="AC28" s="7"/>
      <c r="AD28" s="7"/>
      <c r="AE28" s="7"/>
      <c r="AF28" s="7"/>
      <c r="AG28" s="7"/>
      <c r="AH28" s="7"/>
      <c r="AI28" s="7"/>
      <c r="AJ28" s="7"/>
      <c r="AK28" s="7"/>
      <c r="AL28" s="7"/>
    </row>
    <row r="29" ht="12.75" customHeight="1">
      <c r="A29" s="9"/>
      <c r="B29" s="9"/>
      <c r="C29" s="9" t="s">
        <v>159</v>
      </c>
      <c r="D29" s="26" t="s">
        <v>160</v>
      </c>
      <c r="F29" s="12" t="s">
        <v>161</v>
      </c>
      <c r="G29" s="30">
        <f t="shared" ref="G29:G30" si="1">((0.5+3)/2)</f>
        <v>1.75</v>
      </c>
      <c r="H29" s="25">
        <f>(('Aantal zeedieren gedood'!G29+'Aantal zeedieren gedood'!G30+'Aantal zeedieren gedood'!G31)/3)</f>
        <v>1.4</v>
      </c>
      <c r="I29" s="16">
        <f>((1.38+1.2+1.3+1.36)/4)</f>
        <v>1.31</v>
      </c>
      <c r="J29" s="25">
        <f>('Aantal zeedieren gedood'!H29/(('Aantal zeedieren gedood'!I29+'Aantal zeedieren gedood'!I30+'Aantal zeedieren gedood'!I31)/3))</f>
        <v>1.005385996</v>
      </c>
      <c r="K29" s="24">
        <v>0.288</v>
      </c>
      <c r="L29" s="25">
        <f>('Aantal zeedieren gedood'!K29/'Aantal zeedieren gedood'!J29)</f>
        <v>0.2864571429</v>
      </c>
      <c r="M29" s="17">
        <f>'Aantal zeedieren gedood'!L29</f>
        <v>0.2864571429</v>
      </c>
      <c r="N29" s="7"/>
      <c r="O29" s="16"/>
      <c r="P29" s="17"/>
      <c r="Q29" s="12"/>
      <c r="R29" s="17"/>
      <c r="S29" s="7"/>
      <c r="T29" s="7"/>
      <c r="U29" s="12"/>
      <c r="V29" s="12"/>
      <c r="W29" s="12"/>
      <c r="X29" s="7"/>
      <c r="Y29" s="16"/>
      <c r="Z29" s="7"/>
      <c r="AA29" s="7"/>
      <c r="AB29" s="7"/>
      <c r="AC29" s="7"/>
      <c r="AD29" s="7"/>
      <c r="AE29" s="7"/>
      <c r="AF29" s="7"/>
      <c r="AG29" s="7"/>
      <c r="AH29" s="7"/>
      <c r="AI29" s="7"/>
      <c r="AJ29" s="7"/>
      <c r="AK29" s="7"/>
      <c r="AL29" s="7"/>
    </row>
    <row r="30" ht="12.75" customHeight="1">
      <c r="A30" s="9"/>
      <c r="B30" s="9"/>
      <c r="C30" s="9"/>
      <c r="D30" s="26" t="s">
        <v>173</v>
      </c>
      <c r="F30" s="12" t="s">
        <v>161</v>
      </c>
      <c r="G30" s="30">
        <f t="shared" si="1"/>
        <v>1.75</v>
      </c>
      <c r="H30" s="30"/>
      <c r="I30" s="16">
        <f>((1.6+1.51+1.35+1.44)/4)</f>
        <v>1.475</v>
      </c>
      <c r="J30" s="25"/>
      <c r="K30" s="24"/>
      <c r="L30" s="25"/>
      <c r="M30" s="17"/>
      <c r="N30" s="7"/>
      <c r="O30" s="16"/>
      <c r="P30" s="17"/>
      <c r="Q30" s="12"/>
      <c r="R30" s="17"/>
      <c r="S30" s="7"/>
      <c r="T30" s="7"/>
      <c r="U30" s="12"/>
      <c r="V30" s="12"/>
      <c r="W30" s="12"/>
      <c r="X30" s="7"/>
      <c r="Y30" s="16"/>
      <c r="Z30" s="7"/>
      <c r="AA30" s="7"/>
      <c r="AB30" s="7"/>
      <c r="AC30" s="7"/>
      <c r="AD30" s="7"/>
      <c r="AE30" s="7"/>
      <c r="AF30" s="7"/>
      <c r="AG30" s="7"/>
      <c r="AH30" s="7"/>
      <c r="AI30" s="7"/>
      <c r="AJ30" s="7"/>
      <c r="AK30" s="7"/>
      <c r="AL30" s="7"/>
    </row>
    <row r="31" ht="12.75" customHeight="1">
      <c r="A31" s="9"/>
      <c r="B31" s="9"/>
      <c r="C31" s="9"/>
      <c r="D31" s="26" t="s">
        <v>174</v>
      </c>
      <c r="F31" s="12" t="s">
        <v>175</v>
      </c>
      <c r="G31" s="25">
        <f>((0.6+0.8)/2)</f>
        <v>0.7</v>
      </c>
      <c r="H31" s="25"/>
      <c r="I31" s="16">
        <f>(('Aantal zeedieren gedood'!I29+'Aantal zeedieren gedood'!I30)/2)</f>
        <v>1.3925</v>
      </c>
      <c r="J31" s="25"/>
      <c r="K31" s="24"/>
      <c r="L31" s="25"/>
      <c r="M31" s="17"/>
      <c r="N31" s="7"/>
      <c r="O31" s="16"/>
      <c r="P31" s="17"/>
      <c r="Q31" s="12"/>
      <c r="R31" s="17"/>
      <c r="S31" s="7"/>
      <c r="T31" s="7"/>
      <c r="U31" s="12"/>
      <c r="V31" s="12"/>
      <c r="W31" s="12"/>
      <c r="X31" s="7"/>
      <c r="Y31" s="16"/>
      <c r="Z31" s="7"/>
      <c r="AA31" s="7"/>
      <c r="AB31" s="7"/>
      <c r="AC31" s="7"/>
      <c r="AD31" s="7"/>
      <c r="AE31" s="7"/>
      <c r="AF31" s="7"/>
      <c r="AG31" s="7"/>
      <c r="AH31" s="7"/>
      <c r="AI31" s="7"/>
      <c r="AJ31" s="7"/>
      <c r="AK31" s="7"/>
      <c r="AL31" s="7"/>
    </row>
    <row r="32" ht="12.75" customHeight="1">
      <c r="A32" s="9"/>
      <c r="B32" s="9"/>
      <c r="C32" s="9" t="s">
        <v>178</v>
      </c>
      <c r="D32" s="26" t="s">
        <v>73</v>
      </c>
      <c r="F32" s="12" t="s">
        <v>75</v>
      </c>
      <c r="G32" s="25">
        <f>((1+8)/2)</f>
        <v>4.5</v>
      </c>
      <c r="H32" s="25">
        <f>(('Aantal zeedieren gedood'!G32+'Aantal zeedieren gedood'!G33)/2)</f>
        <v>3.25</v>
      </c>
      <c r="I32" s="12">
        <v>1.53</v>
      </c>
      <c r="J32" s="25">
        <f>('Aantal zeedieren gedood'!H32/'Aantal zeedieren gedood'!I32)</f>
        <v>2.124183007</v>
      </c>
      <c r="K32" s="24">
        <v>0.264</v>
      </c>
      <c r="L32" s="25">
        <f>('Aantal zeedieren gedood'!K32/'Aantal zeedieren gedood'!J32)</f>
        <v>0.1242830769</v>
      </c>
      <c r="M32" s="17">
        <f>'Aantal zeedieren gedood'!L32</f>
        <v>0.1242830769</v>
      </c>
      <c r="N32" s="7"/>
      <c r="O32" s="16">
        <f>'Aantal zeedieren gedood'!O16</f>
        <v>0.974522293</v>
      </c>
      <c r="P32" s="17">
        <f>'Aantal zeedieren gedood'!O32*'Aantal zeedieren gedood'!M32</f>
        <v>0.1211166291</v>
      </c>
      <c r="Q32" s="12">
        <v>24.0</v>
      </c>
      <c r="R32" s="17">
        <f>'Aantal zeedieren gedood'!P32*'Aantal zeedieren gedood'!Q32</f>
        <v>2.906799098</v>
      </c>
      <c r="S32" s="7"/>
      <c r="T32" s="7"/>
      <c r="U32" s="12"/>
      <c r="V32" s="12"/>
      <c r="W32" s="12"/>
      <c r="X32" s="27"/>
      <c r="Y32" s="16"/>
      <c r="Z32" s="7"/>
      <c r="AA32" s="7">
        <f>'Aantal zeedieren gedood'!W32*'Aantal zeedieren gedood'!O32</f>
        <v>0</v>
      </c>
      <c r="AB32" s="7">
        <f>'Aantal zeedieren gedood'!O32*'Aantal zeedieren gedood'!L32</f>
        <v>0.1211166291</v>
      </c>
      <c r="AC32" s="7"/>
      <c r="AD32" s="7"/>
      <c r="AE32" s="7"/>
      <c r="AF32" s="7"/>
      <c r="AG32" s="7"/>
      <c r="AH32" s="7"/>
      <c r="AI32" s="7"/>
      <c r="AJ32" s="7"/>
      <c r="AK32" s="7"/>
      <c r="AL32" s="7"/>
    </row>
    <row r="33" ht="12.75" customHeight="1">
      <c r="A33" s="9"/>
      <c r="B33" s="9"/>
      <c r="C33" s="9"/>
      <c r="D33" s="26" t="s">
        <v>83</v>
      </c>
      <c r="F33" s="12" t="s">
        <v>84</v>
      </c>
      <c r="G33" s="25">
        <f>((1+3)/2)</f>
        <v>2</v>
      </c>
      <c r="H33" s="25"/>
      <c r="I33" s="16">
        <f>((1.6+1.5+1.71+1.5+1.71+1.4+1.5+1.4+1.5+1.52)/10)</f>
        <v>1.534</v>
      </c>
      <c r="J33" s="25"/>
      <c r="K33" s="24"/>
      <c r="L33" s="25"/>
      <c r="M33" s="17"/>
      <c r="N33" s="7"/>
      <c r="O33" s="16"/>
      <c r="P33" s="17"/>
      <c r="Q33" s="12"/>
      <c r="R33" s="17"/>
      <c r="S33" s="7"/>
      <c r="T33" s="7"/>
      <c r="U33" s="12"/>
      <c r="V33" s="12"/>
      <c r="W33" s="12"/>
      <c r="X33" s="7"/>
      <c r="Y33" s="16"/>
      <c r="Z33" s="7"/>
      <c r="AA33" s="7"/>
      <c r="AB33" s="7"/>
      <c r="AC33" s="7"/>
      <c r="AD33" s="7"/>
      <c r="AE33" s="7"/>
      <c r="AF33" s="7"/>
      <c r="AG33" s="7"/>
      <c r="AH33" s="7"/>
      <c r="AI33" s="7"/>
      <c r="AJ33" s="7"/>
      <c r="AK33" s="7"/>
      <c r="AL33" s="7"/>
    </row>
    <row r="34" ht="12.75" customHeight="1">
      <c r="A34" s="9"/>
      <c r="B34" s="9"/>
      <c r="C34" s="9" t="s">
        <v>184</v>
      </c>
      <c r="D34" s="26" t="s">
        <v>95</v>
      </c>
      <c r="F34" s="12" t="s">
        <v>96</v>
      </c>
      <c r="G34" s="25">
        <f>((2+10)/2)</f>
        <v>6</v>
      </c>
      <c r="H34" s="30">
        <f>(('Aantal zeedieren gedood'!G34+'Aantal zeedieren gedood'!G35)/2)</f>
        <v>4.75</v>
      </c>
      <c r="I34" s="16">
        <v>1.45</v>
      </c>
      <c r="J34" s="25">
        <f>('Aantal zeedieren gedood'!H34/'Aantal zeedieren gedood'!I34)</f>
        <v>3.275862069</v>
      </c>
      <c r="K34" s="24">
        <v>0.162</v>
      </c>
      <c r="L34" s="25">
        <f>('Aantal zeedieren gedood'!K34/'Aantal zeedieren gedood'!J34)</f>
        <v>0.04945263158</v>
      </c>
      <c r="M34" s="17">
        <f>'Aantal zeedieren gedood'!L34</f>
        <v>0.04945263158</v>
      </c>
      <c r="N34" s="7"/>
      <c r="O34" s="16">
        <f>'Aantal zeedieren gedood'!O18</f>
        <v>0.69</v>
      </c>
      <c r="P34" s="17">
        <f>'Aantal zeedieren gedood'!O34*'Aantal zeedieren gedood'!M34</f>
        <v>0.03412231579</v>
      </c>
      <c r="Q34" s="12">
        <v>29.0</v>
      </c>
      <c r="R34" s="17">
        <f>'Aantal zeedieren gedood'!P34*'Aantal zeedieren gedood'!Q34</f>
        <v>0.9895471579</v>
      </c>
      <c r="S34" s="7"/>
      <c r="T34" s="7"/>
      <c r="U34" s="12"/>
      <c r="V34" s="12"/>
      <c r="W34" s="12"/>
      <c r="X34" s="27"/>
      <c r="Y34" s="16"/>
      <c r="Z34" s="7"/>
      <c r="AA34" s="7">
        <f>'Aantal zeedieren gedood'!W34*'Aantal zeedieren gedood'!O34</f>
        <v>0</v>
      </c>
      <c r="AB34" s="7">
        <f>'Aantal zeedieren gedood'!O34*'Aantal zeedieren gedood'!L34</f>
        <v>0.03412231579</v>
      </c>
      <c r="AC34" s="7"/>
      <c r="AD34" s="7"/>
      <c r="AE34" s="7"/>
      <c r="AF34" s="7"/>
      <c r="AG34" s="7"/>
      <c r="AH34" s="7"/>
      <c r="AI34" s="7"/>
      <c r="AJ34" s="7"/>
      <c r="AK34" s="7"/>
      <c r="AL34" s="7"/>
    </row>
    <row r="35" ht="12.75" customHeight="1">
      <c r="A35" s="9"/>
      <c r="B35" s="9"/>
      <c r="C35" s="9"/>
      <c r="D35" s="26" t="s">
        <v>100</v>
      </c>
      <c r="F35" s="12" t="s">
        <v>101</v>
      </c>
      <c r="G35" s="25">
        <f>((1+6)/2)</f>
        <v>3.5</v>
      </c>
      <c r="H35" s="30"/>
      <c r="I35" s="16">
        <v>1.45</v>
      </c>
      <c r="J35" s="25"/>
      <c r="K35" s="24"/>
      <c r="L35" s="25"/>
      <c r="M35" s="17"/>
      <c r="N35" s="7"/>
      <c r="O35" s="16"/>
      <c r="P35" s="17"/>
      <c r="Q35" s="12"/>
      <c r="R35" s="17"/>
      <c r="S35" s="7"/>
      <c r="T35" s="7"/>
      <c r="U35" s="12"/>
      <c r="V35" s="12"/>
      <c r="W35" s="12"/>
      <c r="X35" s="7"/>
      <c r="Y35" s="16"/>
      <c r="Z35" s="7"/>
      <c r="AA35" s="7"/>
      <c r="AB35" s="7"/>
      <c r="AC35" s="7"/>
      <c r="AD35" s="7"/>
      <c r="AE35" s="7"/>
      <c r="AF35" s="7"/>
      <c r="AG35" s="7"/>
      <c r="AH35" s="7"/>
      <c r="AI35" s="7"/>
      <c r="AJ35" s="7"/>
      <c r="AK35" s="7"/>
      <c r="AL35" s="7"/>
    </row>
    <row r="36" ht="12.75" customHeight="1">
      <c r="A36" s="9"/>
      <c r="B36" s="9"/>
      <c r="C36" s="33" t="s">
        <v>193</v>
      </c>
      <c r="D36" s="34" t="s">
        <v>152</v>
      </c>
      <c r="F36" s="30" t="s">
        <v>152</v>
      </c>
      <c r="G36" s="25">
        <f>(SUM('Aantal zeedieren gedood'!G29:G35)/7)</f>
        <v>2.885714286</v>
      </c>
      <c r="H36" s="25">
        <f>'Aantal zeedieren gedood'!G36</f>
        <v>2.885714286</v>
      </c>
      <c r="I36" s="25">
        <f>(SUM('Aantal zeedieren gedood'!I29:I35)/7)</f>
        <v>1.448785714</v>
      </c>
      <c r="J36" s="25">
        <f>('Aantal zeedieren gedood'!H36/'Aantal zeedieren gedood'!I36)</f>
        <v>1.991815806</v>
      </c>
      <c r="K36" s="35">
        <f>('Aantal zeedieren gedood'!K28-SUM('Aantal zeedieren gedood'!K29:K35))</f>
        <v>0.4</v>
      </c>
      <c r="L36" s="25">
        <f>('Aantal zeedieren gedood'!K36/'Aantal zeedieren gedood'!J36)</f>
        <v>0.2008217822</v>
      </c>
      <c r="M36" s="17">
        <f>'Aantal zeedieren gedood'!L36</f>
        <v>0.2008217822</v>
      </c>
      <c r="N36" s="7"/>
      <c r="O36" s="16">
        <f>('Aantal zeedieren gedood'!O32*'Aantal zeedieren gedood'!L32+'Aantal zeedieren gedood'!O34*'Aantal zeedieren gedood'!L34)/'Aantal zeedieren gedood'!L28</f>
        <v>0.2348494829</v>
      </c>
      <c r="P36" s="17">
        <f>'Aantal zeedieren gedood'!O36*'Aantal zeedieren gedood'!M36</f>
        <v>0.0471628917</v>
      </c>
      <c r="Q36" s="12">
        <f>AVERAGE('Aantal zeedieren gedood'!Q32:Q35)</f>
        <v>26.5</v>
      </c>
      <c r="R36" s="17">
        <f>'Aantal zeedieren gedood'!P36*'Aantal zeedieren gedood'!Q36</f>
        <v>1.24981663</v>
      </c>
      <c r="S36" s="7"/>
      <c r="T36" s="7"/>
      <c r="U36" s="12"/>
      <c r="V36" s="12"/>
      <c r="W36" s="12"/>
      <c r="X36" s="27"/>
      <c r="Y36" s="16"/>
      <c r="Z36" s="7"/>
      <c r="AA36" s="7">
        <f>'Aantal zeedieren gedood'!W36*'Aantal zeedieren gedood'!O36</f>
        <v>0</v>
      </c>
      <c r="AB36" s="7">
        <f>'Aantal zeedieren gedood'!O36*'Aantal zeedieren gedood'!L36</f>
        <v>0.0471628917</v>
      </c>
      <c r="AC36" s="7"/>
      <c r="AD36" s="7"/>
      <c r="AE36" s="7"/>
      <c r="AF36" s="7"/>
      <c r="AG36" s="7"/>
      <c r="AH36" s="7"/>
      <c r="AI36" s="7"/>
      <c r="AJ36" s="7"/>
      <c r="AK36" s="7"/>
      <c r="AL36" s="7"/>
    </row>
    <row r="37" ht="12.75" customHeight="1">
      <c r="A37" s="9"/>
      <c r="B37" s="9"/>
      <c r="C37" s="33"/>
      <c r="D37" s="30"/>
      <c r="E37" s="30"/>
      <c r="F37" s="30"/>
      <c r="G37" s="25"/>
      <c r="H37" s="25"/>
      <c r="I37" s="25"/>
      <c r="J37" s="25"/>
      <c r="K37" s="35"/>
      <c r="L37" s="25"/>
      <c r="M37" s="17"/>
      <c r="N37" s="7"/>
      <c r="O37" s="16"/>
      <c r="P37" s="17"/>
      <c r="Q37" s="12"/>
      <c r="R37" s="17"/>
      <c r="S37" s="7"/>
      <c r="T37" s="7"/>
      <c r="U37" s="12"/>
      <c r="V37" s="12"/>
      <c r="W37" s="12"/>
      <c r="X37" s="7"/>
      <c r="Y37" s="16"/>
      <c r="Z37" s="7"/>
      <c r="AA37" s="7"/>
      <c r="AB37" s="7"/>
      <c r="AC37" s="7"/>
      <c r="AD37" s="7"/>
      <c r="AE37" s="7"/>
      <c r="AF37" s="7"/>
      <c r="AG37" s="7"/>
      <c r="AH37" s="7"/>
      <c r="AI37" s="7"/>
      <c r="AJ37" s="7"/>
      <c r="AK37" s="7"/>
      <c r="AL37" s="7"/>
    </row>
    <row r="38" ht="12.75" customHeight="1">
      <c r="A38" s="9"/>
      <c r="B38" s="9" t="s">
        <v>202</v>
      </c>
      <c r="C38" s="9"/>
      <c r="D38" s="12" t="s">
        <v>59</v>
      </c>
      <c r="F38" s="12" t="s">
        <v>59</v>
      </c>
      <c r="G38" s="12" t="s">
        <v>59</v>
      </c>
      <c r="H38" s="12" t="s">
        <v>59</v>
      </c>
      <c r="I38" s="12" t="s">
        <v>59</v>
      </c>
      <c r="J38" s="12" t="s">
        <v>59</v>
      </c>
      <c r="K38" s="24">
        <v>0.903</v>
      </c>
      <c r="L38" s="25">
        <f>SUM('Aantal zeedieren gedood'!L39:L41)</f>
        <v>0.2756526316</v>
      </c>
      <c r="M38" s="17"/>
      <c r="N38" s="7"/>
      <c r="O38" s="16"/>
      <c r="P38" s="17"/>
      <c r="Q38" s="12"/>
      <c r="R38" s="17"/>
      <c r="S38" s="7"/>
      <c r="T38" s="7"/>
      <c r="U38" s="12"/>
      <c r="V38" s="12"/>
      <c r="W38" s="12"/>
      <c r="X38" s="7"/>
      <c r="Y38" s="16"/>
      <c r="Z38" s="7"/>
      <c r="AA38" s="7"/>
      <c r="AB38" s="7"/>
      <c r="AC38" s="7"/>
      <c r="AD38" s="7"/>
      <c r="AE38" s="7"/>
      <c r="AF38" s="7"/>
      <c r="AG38" s="7"/>
      <c r="AH38" s="7"/>
      <c r="AI38" s="7"/>
      <c r="AJ38" s="7"/>
      <c r="AK38" s="7"/>
      <c r="AL38" s="7"/>
    </row>
    <row r="39" ht="12.75" customHeight="1">
      <c r="A39" s="9"/>
      <c r="B39" s="9"/>
      <c r="C39" s="9" t="s">
        <v>205</v>
      </c>
      <c r="D39" s="26" t="s">
        <v>95</v>
      </c>
      <c r="F39" s="12" t="s">
        <v>96</v>
      </c>
      <c r="G39" s="25">
        <f>((2+10)/2)</f>
        <v>6</v>
      </c>
      <c r="H39" s="30">
        <f>(('Aantal zeedieren gedood'!G39+'Aantal zeedieren gedood'!G40)/2)</f>
        <v>4.75</v>
      </c>
      <c r="I39" s="16">
        <v>1.45</v>
      </c>
      <c r="J39" s="25">
        <f>('Aantal zeedieren gedood'!H39/'Aantal zeedieren gedood'!I39)</f>
        <v>3.275862069</v>
      </c>
      <c r="K39" s="24">
        <v>0.485</v>
      </c>
      <c r="L39" s="25">
        <f>('Aantal zeedieren gedood'!K39/'Aantal zeedieren gedood'!J39)</f>
        <v>0.1480526316</v>
      </c>
      <c r="M39" s="17">
        <f>'Aantal zeedieren gedood'!L39</f>
        <v>0.1480526316</v>
      </c>
      <c r="N39" s="7"/>
      <c r="O39" s="16">
        <f>'Aantal zeedieren gedood'!O18</f>
        <v>0.69</v>
      </c>
      <c r="P39" s="17">
        <f>'Aantal zeedieren gedood'!O39*'Aantal zeedieren gedood'!M39</f>
        <v>0.1021563158</v>
      </c>
      <c r="Q39" s="12">
        <v>29.0</v>
      </c>
      <c r="R39" s="17">
        <f>'Aantal zeedieren gedood'!P39*'Aantal zeedieren gedood'!Q39</f>
        <v>2.962533158</v>
      </c>
      <c r="S39" s="7"/>
      <c r="T39" s="7"/>
      <c r="U39" s="12"/>
      <c r="V39" s="12"/>
      <c r="W39" s="12"/>
      <c r="X39" s="27"/>
      <c r="Y39" s="16"/>
      <c r="Z39" s="7"/>
      <c r="AA39" s="7">
        <f>'Aantal zeedieren gedood'!W39*'Aantal zeedieren gedood'!O39</f>
        <v>0</v>
      </c>
      <c r="AB39" s="7">
        <f>'Aantal zeedieren gedood'!O39*'Aantal zeedieren gedood'!L39</f>
        <v>0.1021563158</v>
      </c>
      <c r="AC39" s="7"/>
      <c r="AD39" s="7"/>
      <c r="AE39" s="7"/>
      <c r="AF39" s="7"/>
      <c r="AG39" s="7"/>
      <c r="AH39" s="7"/>
      <c r="AI39" s="7"/>
      <c r="AJ39" s="7"/>
      <c r="AK39" s="7"/>
      <c r="AL39" s="7"/>
    </row>
    <row r="40" ht="12.75" customHeight="1">
      <c r="A40" s="9"/>
      <c r="B40" s="9"/>
      <c r="C40" s="9"/>
      <c r="D40" s="26" t="s">
        <v>100</v>
      </c>
      <c r="F40" s="12" t="s">
        <v>101</v>
      </c>
      <c r="G40" s="25">
        <f>((1+6)/2)</f>
        <v>3.5</v>
      </c>
      <c r="H40" s="30"/>
      <c r="I40" s="16">
        <v>1.45</v>
      </c>
      <c r="J40" s="25"/>
      <c r="K40" s="24"/>
      <c r="L40" s="25"/>
      <c r="M40" s="7"/>
      <c r="N40" s="7"/>
      <c r="O40" s="16"/>
      <c r="P40" s="17"/>
      <c r="Q40" s="12"/>
      <c r="R40" s="17"/>
      <c r="S40" s="7"/>
      <c r="T40" s="7"/>
      <c r="U40" s="12"/>
      <c r="V40" s="12"/>
      <c r="W40" s="12"/>
      <c r="X40" s="7"/>
      <c r="Y40" s="16"/>
      <c r="Z40" s="7"/>
      <c r="AA40" s="7"/>
      <c r="AB40" s="7"/>
      <c r="AC40" s="7"/>
      <c r="AD40" s="7"/>
      <c r="AE40" s="7"/>
      <c r="AF40" s="7"/>
      <c r="AG40" s="7"/>
      <c r="AH40" s="7"/>
      <c r="AI40" s="7"/>
      <c r="AJ40" s="7"/>
      <c r="AK40" s="7"/>
      <c r="AL40" s="7"/>
    </row>
    <row r="41" ht="12.75" customHeight="1">
      <c r="A41" s="9"/>
      <c r="B41" s="9"/>
      <c r="C41" s="33" t="s">
        <v>213</v>
      </c>
      <c r="D41" s="34" t="s">
        <v>152</v>
      </c>
      <c r="F41" s="30" t="s">
        <v>152</v>
      </c>
      <c r="G41" s="25">
        <f>(SUM('Aantal zeedieren gedood'!G39:G40)/2)</f>
        <v>4.75</v>
      </c>
      <c r="H41" s="25">
        <f>'Aantal zeedieren gedood'!G41</f>
        <v>4.75</v>
      </c>
      <c r="I41" s="25">
        <f>(SUM('Aantal zeedieren gedood'!I39:I40)/2)</f>
        <v>1.45</v>
      </c>
      <c r="J41" s="25">
        <f>('Aantal zeedieren gedood'!H41/'Aantal zeedieren gedood'!I41)</f>
        <v>3.275862069</v>
      </c>
      <c r="K41" s="35">
        <f>('Aantal zeedieren gedood'!K38-SUM('Aantal zeedieren gedood'!K39:K40))</f>
        <v>0.418</v>
      </c>
      <c r="L41" s="25">
        <f>('Aantal zeedieren gedood'!K41/'Aantal zeedieren gedood'!J41)</f>
        <v>0.1276</v>
      </c>
      <c r="M41" s="17">
        <f>'Aantal zeedieren gedood'!L41</f>
        <v>0.1276</v>
      </c>
      <c r="N41" s="7"/>
      <c r="O41" s="16">
        <f>'Aantal zeedieren gedood'!O18</f>
        <v>0.69</v>
      </c>
      <c r="P41" s="17">
        <f>'Aantal zeedieren gedood'!O41*'Aantal zeedieren gedood'!M41</f>
        <v>0.088044</v>
      </c>
      <c r="Q41" s="12">
        <f>'Aantal zeedieren gedood'!Q39</f>
        <v>29</v>
      </c>
      <c r="R41" s="17">
        <f>'Aantal zeedieren gedood'!P41*'Aantal zeedieren gedood'!Q41</f>
        <v>2.553276</v>
      </c>
      <c r="S41" s="7"/>
      <c r="T41" s="7"/>
      <c r="U41" s="12"/>
      <c r="V41" s="12"/>
      <c r="W41" s="12"/>
      <c r="X41" s="27"/>
      <c r="Y41" s="16"/>
      <c r="Z41" s="7"/>
      <c r="AA41" s="7">
        <f>'Aantal zeedieren gedood'!W41*'Aantal zeedieren gedood'!O41</f>
        <v>0</v>
      </c>
      <c r="AB41" s="7">
        <f>'Aantal zeedieren gedood'!O41*'Aantal zeedieren gedood'!L41</f>
        <v>0.088044</v>
      </c>
      <c r="AC41" s="7"/>
      <c r="AD41" s="7"/>
      <c r="AE41" s="7"/>
      <c r="AF41" s="7"/>
      <c r="AG41" s="7"/>
      <c r="AH41" s="7"/>
      <c r="AI41" s="7"/>
      <c r="AJ41" s="7"/>
      <c r="AK41" s="7"/>
      <c r="AL41" s="7"/>
    </row>
    <row r="42" ht="12.75" customHeight="1">
      <c r="A42" s="9"/>
      <c r="B42" s="9"/>
      <c r="C42" s="33"/>
      <c r="D42" s="30"/>
      <c r="E42" s="30"/>
      <c r="F42" s="30"/>
      <c r="G42" s="25"/>
      <c r="H42" s="25"/>
      <c r="I42" s="25"/>
      <c r="J42" s="25"/>
      <c r="K42" s="35"/>
      <c r="L42" s="25"/>
      <c r="M42" s="7"/>
      <c r="N42" s="7"/>
      <c r="O42" s="12"/>
      <c r="P42" s="7"/>
      <c r="Q42" s="12"/>
      <c r="R42" s="7"/>
      <c r="S42" s="7"/>
      <c r="T42" s="7"/>
      <c r="U42" s="12"/>
      <c r="V42" s="12"/>
      <c r="W42" s="12"/>
      <c r="X42" s="7"/>
      <c r="Y42" s="16"/>
      <c r="Z42" s="7"/>
      <c r="AA42" s="7"/>
      <c r="AB42" s="7"/>
      <c r="AC42" s="7"/>
      <c r="AD42" s="7"/>
      <c r="AE42" s="7"/>
      <c r="AF42" s="7"/>
      <c r="AG42" s="7"/>
      <c r="AH42" s="7"/>
      <c r="AI42" s="7"/>
      <c r="AJ42" s="7"/>
      <c r="AK42" s="7"/>
      <c r="AL42" s="7"/>
    </row>
    <row r="43" ht="12.75" customHeight="1">
      <c r="A43" s="9"/>
      <c r="B43" s="9" t="s">
        <v>223</v>
      </c>
      <c r="C43" s="9"/>
      <c r="D43" s="12" t="s">
        <v>59</v>
      </c>
      <c r="F43" s="12" t="s">
        <v>59</v>
      </c>
      <c r="G43" s="12" t="s">
        <v>59</v>
      </c>
      <c r="H43" s="12" t="s">
        <v>59</v>
      </c>
      <c r="I43" s="12" t="s">
        <v>59</v>
      </c>
      <c r="J43" s="12" t="s">
        <v>59</v>
      </c>
      <c r="K43" s="24">
        <v>0.968</v>
      </c>
      <c r="L43" s="25">
        <f>SUM('Aantal zeedieren gedood'!L44:L47)</f>
        <v>2.378514286</v>
      </c>
      <c r="M43" s="17"/>
      <c r="N43" s="7"/>
      <c r="O43" s="12"/>
      <c r="P43" s="7"/>
      <c r="Q43" s="12"/>
      <c r="R43" s="7"/>
      <c r="S43" s="7"/>
      <c r="T43" s="7"/>
      <c r="U43" s="12"/>
      <c r="V43" s="12"/>
      <c r="W43" s="12"/>
      <c r="X43" s="7"/>
      <c r="Y43" s="16"/>
      <c r="Z43" s="7"/>
      <c r="AA43" s="7"/>
      <c r="AB43" s="7"/>
      <c r="AC43" s="7"/>
      <c r="AD43" s="7"/>
      <c r="AE43" s="7"/>
      <c r="AF43" s="7"/>
      <c r="AG43" s="7"/>
      <c r="AH43" s="7"/>
      <c r="AI43" s="7"/>
      <c r="AJ43" s="7"/>
      <c r="AK43" s="7"/>
      <c r="AL43" s="7"/>
    </row>
    <row r="44" ht="12.75" customHeight="1">
      <c r="A44" s="9"/>
      <c r="B44" s="9"/>
      <c r="C44" s="9" t="s">
        <v>228</v>
      </c>
      <c r="D44" s="26" t="s">
        <v>160</v>
      </c>
      <c r="F44" s="12" t="s">
        <v>161</v>
      </c>
      <c r="G44" s="30">
        <f t="shared" ref="G44:G45" si="2">((0.5+3)/2)</f>
        <v>1.75</v>
      </c>
      <c r="H44" s="25">
        <f>(('Aantal zeedieren gedood'!G44+'Aantal zeedieren gedood'!G45+'Aantal zeedieren gedood'!G46)/3)</f>
        <v>1.4</v>
      </c>
      <c r="I44" s="16">
        <v>4.3</v>
      </c>
      <c r="J44" s="25">
        <f>('Aantal zeedieren gedood'!H44/'Aantal zeedieren gedood'!I44)</f>
        <v>0.3255813953</v>
      </c>
      <c r="K44" s="24">
        <v>0.16</v>
      </c>
      <c r="L44" s="25">
        <f>(('Aantal zeedieren gedood'!K44*0.8)/'Aantal zeedieren gedood'!J44)</f>
        <v>0.3931428571</v>
      </c>
      <c r="M44" s="17">
        <f>'Aantal zeedieren gedood'!L44</f>
        <v>0.3931428571</v>
      </c>
      <c r="N44" s="7"/>
      <c r="O44" s="12"/>
      <c r="P44" s="7"/>
      <c r="Q44" s="12"/>
      <c r="R44" s="7"/>
      <c r="S44" s="7"/>
      <c r="T44" s="7"/>
      <c r="U44" s="12"/>
      <c r="V44" s="12"/>
      <c r="W44" s="12"/>
      <c r="X44" s="7"/>
      <c r="Y44" s="16"/>
      <c r="Z44" s="7"/>
      <c r="AA44" s="7"/>
      <c r="AB44" s="7"/>
      <c r="AC44" s="7"/>
      <c r="AD44" s="7"/>
      <c r="AE44" s="7"/>
      <c r="AF44" s="7"/>
      <c r="AG44" s="7"/>
      <c r="AH44" s="7"/>
      <c r="AI44" s="7"/>
      <c r="AJ44" s="7"/>
      <c r="AK44" s="7"/>
      <c r="AL44" s="7"/>
    </row>
    <row r="45" ht="12.75" customHeight="1">
      <c r="A45" s="9"/>
      <c r="B45" s="9"/>
      <c r="C45" s="9"/>
      <c r="D45" s="26" t="s">
        <v>173</v>
      </c>
      <c r="F45" s="12" t="s">
        <v>161</v>
      </c>
      <c r="G45" s="30">
        <f t="shared" si="2"/>
        <v>1.75</v>
      </c>
      <c r="H45" s="30"/>
      <c r="I45" s="16">
        <v>4.3</v>
      </c>
      <c r="J45" s="25"/>
      <c r="K45" s="24"/>
      <c r="L45" s="25"/>
      <c r="M45" s="7"/>
      <c r="N45" s="7"/>
      <c r="O45" s="12"/>
      <c r="P45" s="7"/>
      <c r="Q45" s="12"/>
      <c r="R45" s="7"/>
      <c r="S45" s="7"/>
      <c r="T45" s="7"/>
      <c r="U45" s="12"/>
      <c r="V45" s="12"/>
      <c r="W45" s="12"/>
      <c r="X45" s="7"/>
      <c r="Y45" s="16"/>
      <c r="Z45" s="7"/>
      <c r="AA45" s="7"/>
      <c r="AB45" s="7"/>
      <c r="AC45" s="7"/>
      <c r="AD45" s="7"/>
      <c r="AE45" s="7"/>
      <c r="AF45" s="7"/>
      <c r="AG45" s="7"/>
      <c r="AH45" s="7"/>
      <c r="AI45" s="7"/>
      <c r="AJ45" s="7"/>
      <c r="AK45" s="7"/>
      <c r="AL45" s="7"/>
    </row>
    <row r="46" ht="12.75" customHeight="1">
      <c r="A46" s="9"/>
      <c r="B46" s="9"/>
      <c r="C46" s="9"/>
      <c r="D46" s="26" t="s">
        <v>174</v>
      </c>
      <c r="F46" s="12" t="s">
        <v>175</v>
      </c>
      <c r="G46" s="25">
        <f>((0.6+0.8)/2)</f>
        <v>0.7</v>
      </c>
      <c r="H46" s="30"/>
      <c r="I46" s="16">
        <f>(('Aantal zeedieren gedood'!I44+'Aantal zeedieren gedood'!I45)/2)</f>
        <v>4.3</v>
      </c>
      <c r="J46" s="25"/>
      <c r="K46" s="24"/>
      <c r="L46" s="25"/>
      <c r="M46" s="7"/>
      <c r="N46" s="7"/>
      <c r="O46" s="12"/>
      <c r="P46" s="7"/>
      <c r="Q46" s="12"/>
      <c r="R46" s="7"/>
      <c r="S46" s="7"/>
      <c r="T46" s="7"/>
      <c r="U46" s="12"/>
      <c r="V46" s="12"/>
      <c r="W46" s="12"/>
      <c r="X46" s="7"/>
      <c r="Y46" s="16"/>
      <c r="Z46" s="7"/>
      <c r="AA46" s="7"/>
      <c r="AB46" s="7"/>
      <c r="AC46" s="7"/>
      <c r="AD46" s="7"/>
      <c r="AE46" s="7"/>
      <c r="AF46" s="7"/>
      <c r="AG46" s="7"/>
      <c r="AH46" s="7"/>
      <c r="AI46" s="7"/>
      <c r="AJ46" s="7"/>
      <c r="AK46" s="7"/>
      <c r="AL46" s="7"/>
    </row>
    <row r="47" ht="12.75" customHeight="1">
      <c r="A47" s="9"/>
      <c r="B47" s="9"/>
      <c r="C47" s="33" t="s">
        <v>251</v>
      </c>
      <c r="D47" s="34" t="s">
        <v>152</v>
      </c>
      <c r="F47" s="30" t="s">
        <v>152</v>
      </c>
      <c r="G47" s="25">
        <f>(SUM('Aantal zeedieren gedood'!G44:G46)/3)</f>
        <v>1.4</v>
      </c>
      <c r="H47" s="25">
        <f>'Aantal zeedieren gedood'!G47</f>
        <v>1.4</v>
      </c>
      <c r="I47" s="25">
        <f>(SUM('Aantal zeedieren gedood'!I44:I46)/3)</f>
        <v>4.3</v>
      </c>
      <c r="J47" s="25">
        <f>('Aantal zeedieren gedood'!H47/'Aantal zeedieren gedood'!I47)</f>
        <v>0.3255813953</v>
      </c>
      <c r="K47" s="35">
        <f>('Aantal zeedieren gedood'!K43-SUM('Aantal zeedieren gedood'!K44:K46))</f>
        <v>0.808</v>
      </c>
      <c r="L47" s="25">
        <f>(('Aantal zeedieren gedood'!K47*0.8)/'Aantal zeedieren gedood'!J47)</f>
        <v>1.985371429</v>
      </c>
      <c r="M47" s="17">
        <f>'Aantal zeedieren gedood'!L47</f>
        <v>1.985371429</v>
      </c>
      <c r="N47" s="7"/>
      <c r="O47" s="12"/>
      <c r="P47" s="7"/>
      <c r="Q47" s="12"/>
      <c r="R47" s="7"/>
      <c r="S47" s="7"/>
      <c r="T47" s="7"/>
      <c r="U47" s="12"/>
      <c r="V47" s="12"/>
      <c r="W47" s="12"/>
      <c r="X47" s="7"/>
      <c r="Y47" s="16"/>
      <c r="Z47" s="7"/>
      <c r="AA47" s="7"/>
      <c r="AB47" s="7"/>
      <c r="AC47" s="7"/>
      <c r="AD47" s="7"/>
      <c r="AE47" s="7"/>
      <c r="AF47" s="7"/>
      <c r="AG47" s="7"/>
      <c r="AH47" s="7"/>
      <c r="AI47" s="7"/>
      <c r="AJ47" s="7"/>
      <c r="AK47" s="7"/>
      <c r="AL47" s="7"/>
    </row>
    <row r="48" ht="12.75" customHeight="1">
      <c r="A48" s="9"/>
      <c r="B48" s="9"/>
      <c r="C48" s="33"/>
      <c r="D48" s="30"/>
      <c r="E48" s="30"/>
      <c r="F48" s="30"/>
      <c r="G48" s="25"/>
      <c r="H48" s="25"/>
      <c r="I48" s="25"/>
      <c r="J48" s="25"/>
      <c r="K48" s="35"/>
      <c r="L48" s="30"/>
      <c r="M48" s="7"/>
      <c r="N48" s="7"/>
      <c r="O48" s="12"/>
      <c r="P48" s="7"/>
      <c r="Q48" s="12"/>
      <c r="R48" s="7"/>
      <c r="S48" s="7"/>
      <c r="T48" s="7"/>
      <c r="U48" s="12"/>
      <c r="V48" s="12"/>
      <c r="W48" s="12"/>
      <c r="X48" s="7"/>
      <c r="Y48" s="16"/>
      <c r="Z48" s="7"/>
      <c r="AA48" s="7"/>
      <c r="AB48" s="7"/>
      <c r="AC48" s="7"/>
      <c r="AD48" s="7"/>
      <c r="AE48" s="7"/>
      <c r="AF48" s="7"/>
      <c r="AG48" s="7"/>
      <c r="AH48" s="7"/>
      <c r="AI48" s="7"/>
      <c r="AJ48" s="7"/>
      <c r="AK48" s="7"/>
      <c r="AL48" s="7"/>
    </row>
    <row r="49" ht="12.75" customHeight="1">
      <c r="A49" s="9"/>
      <c r="B49" s="9" t="s">
        <v>258</v>
      </c>
      <c r="C49" s="9"/>
      <c r="D49" s="12" t="s">
        <v>59</v>
      </c>
      <c r="F49" s="12" t="s">
        <v>59</v>
      </c>
      <c r="G49" s="12" t="s">
        <v>59</v>
      </c>
      <c r="H49" s="12" t="s">
        <v>59</v>
      </c>
      <c r="I49" s="12" t="s">
        <v>59</v>
      </c>
      <c r="J49" s="12" t="s">
        <v>59</v>
      </c>
      <c r="K49" s="24">
        <v>4.391</v>
      </c>
      <c r="L49" s="25">
        <f>SUM('Aantal zeedieren gedood'!L50:L53)</f>
        <v>1025.843522</v>
      </c>
      <c r="M49" s="7"/>
      <c r="N49" s="7"/>
      <c r="O49" s="12"/>
      <c r="P49" s="7"/>
      <c r="Q49" s="12"/>
      <c r="R49" s="7"/>
      <c r="S49" s="7"/>
      <c r="T49" s="7"/>
      <c r="U49" s="12"/>
      <c r="V49" s="12"/>
      <c r="W49" s="12"/>
      <c r="X49" s="7"/>
      <c r="Y49" s="16"/>
      <c r="Z49" s="7"/>
      <c r="AA49" s="7"/>
      <c r="AB49" s="7"/>
      <c r="AC49" s="7"/>
      <c r="AD49" s="7"/>
      <c r="AE49" s="7"/>
      <c r="AF49" s="7"/>
      <c r="AG49" s="7"/>
      <c r="AH49" s="7"/>
      <c r="AI49" s="7"/>
      <c r="AJ49" s="7"/>
      <c r="AK49" s="7"/>
      <c r="AL49" s="7"/>
    </row>
    <row r="50" ht="12.75" customHeight="1">
      <c r="A50" s="9"/>
      <c r="B50" s="9"/>
      <c r="C50" s="9" t="s">
        <v>250</v>
      </c>
      <c r="D50" s="26" t="s">
        <v>263</v>
      </c>
      <c r="F50" s="12" t="s">
        <v>264</v>
      </c>
      <c r="G50" s="35">
        <f>((0.01+0.025)/2)</f>
        <v>0.0175</v>
      </c>
      <c r="H50" s="35">
        <f>'Aantal zeedieren gedood'!G50</f>
        <v>0.0175</v>
      </c>
      <c r="I50" s="16">
        <v>1.0</v>
      </c>
      <c r="J50" s="35">
        <f>('Aantal zeedieren gedood'!H50/'Aantal zeedieren gedood'!I50)</f>
        <v>0.0175</v>
      </c>
      <c r="K50" s="24">
        <v>3.447</v>
      </c>
      <c r="L50" s="25">
        <f>('Aantal zeedieren gedood'!K50/'Aantal zeedieren gedood'!J50)</f>
        <v>196.9714286</v>
      </c>
      <c r="M50" s="7"/>
      <c r="N50" s="7"/>
      <c r="O50" s="12"/>
      <c r="P50" s="7"/>
      <c r="Q50" s="12"/>
      <c r="R50" s="7"/>
      <c r="S50" s="7"/>
      <c r="T50" s="7"/>
      <c r="U50" s="12"/>
      <c r="V50" s="12"/>
      <c r="W50" s="12"/>
      <c r="X50" s="7"/>
      <c r="Y50" s="16"/>
      <c r="Z50" s="7"/>
      <c r="AA50" s="7"/>
      <c r="AB50" s="7"/>
      <c r="AC50" s="7"/>
      <c r="AD50" s="7"/>
      <c r="AE50" s="7"/>
      <c r="AF50" s="7"/>
      <c r="AG50" s="7"/>
      <c r="AH50" s="7"/>
      <c r="AI50" s="7"/>
      <c r="AJ50" s="7"/>
      <c r="AK50" s="7"/>
      <c r="AL50" s="7"/>
    </row>
    <row r="51" ht="12.75" customHeight="1">
      <c r="A51" s="9"/>
      <c r="B51" s="9"/>
      <c r="C51" s="9" t="s">
        <v>247</v>
      </c>
      <c r="D51" s="26" t="s">
        <v>268</v>
      </c>
      <c r="F51" s="12" t="s">
        <v>270</v>
      </c>
      <c r="G51" s="30">
        <f t="shared" ref="G51:G52" si="3">((0.001+0.003)/2)</f>
        <v>0.002</v>
      </c>
      <c r="H51" s="30">
        <f>'Aantal zeedieren gedood'!G51</f>
        <v>0.002</v>
      </c>
      <c r="I51" s="16">
        <v>3.0</v>
      </c>
      <c r="J51" s="35">
        <f>('Aantal zeedieren gedood'!H51/'Aantal zeedieren gedood'!I51)</f>
        <v>0.0006666666667</v>
      </c>
      <c r="K51" s="24">
        <v>0.447</v>
      </c>
      <c r="L51" s="25">
        <f>('Aantal zeedieren gedood'!K51/'Aantal zeedieren gedood'!J51)</f>
        <v>670.5</v>
      </c>
      <c r="M51" s="7"/>
      <c r="N51" s="17">
        <f>'Aantal zeedieren gedood'!L51</f>
        <v>670.5</v>
      </c>
      <c r="O51" s="12"/>
      <c r="P51" s="7"/>
      <c r="Q51" s="12"/>
      <c r="R51" s="7"/>
      <c r="S51" s="7"/>
      <c r="T51" s="7"/>
      <c r="U51" s="12"/>
      <c r="V51" s="12"/>
      <c r="W51" s="12"/>
      <c r="X51" s="7"/>
      <c r="Y51" s="16"/>
      <c r="Z51" s="7"/>
      <c r="AA51" s="7"/>
      <c r="AB51" s="7"/>
      <c r="AC51" s="7"/>
      <c r="AD51" s="7"/>
      <c r="AE51" s="7"/>
      <c r="AF51" s="7"/>
      <c r="AG51" s="7"/>
      <c r="AH51" s="7"/>
      <c r="AI51" s="7"/>
      <c r="AJ51" s="7"/>
      <c r="AK51" s="7"/>
      <c r="AL51" s="7"/>
    </row>
    <row r="52" ht="12.75" customHeight="1">
      <c r="A52" s="9"/>
      <c r="B52" s="9"/>
      <c r="C52" s="9" t="s">
        <v>248</v>
      </c>
      <c r="D52" s="26" t="s">
        <v>268</v>
      </c>
      <c r="F52" s="12" t="s">
        <v>270</v>
      </c>
      <c r="G52" s="30">
        <f t="shared" si="3"/>
        <v>0.002</v>
      </c>
      <c r="H52" s="30">
        <f>'Aantal zeedieren gedood'!G52</f>
        <v>0.002</v>
      </c>
      <c r="I52" s="16">
        <v>1.0</v>
      </c>
      <c r="J52" s="35">
        <f>('Aantal zeedieren gedood'!H52/'Aantal zeedieren gedood'!I52)</f>
        <v>0.002</v>
      </c>
      <c r="K52" s="24">
        <v>0.16</v>
      </c>
      <c r="L52" s="25">
        <f>('Aantal zeedieren gedood'!K52/'Aantal zeedieren gedood'!J52)</f>
        <v>80</v>
      </c>
      <c r="M52" s="7"/>
      <c r="N52" s="17">
        <f>'Aantal zeedieren gedood'!L52</f>
        <v>80</v>
      </c>
      <c r="O52" s="12"/>
      <c r="P52" s="7"/>
      <c r="Q52" s="12"/>
      <c r="R52" s="7"/>
      <c r="S52" s="7"/>
      <c r="T52" s="7"/>
      <c r="U52" s="12"/>
      <c r="V52" s="12"/>
      <c r="W52" s="12"/>
      <c r="X52" s="7"/>
      <c r="Y52" s="16"/>
      <c r="Z52" s="7"/>
      <c r="AA52" s="7"/>
      <c r="AB52" s="7"/>
      <c r="AC52" s="7"/>
      <c r="AD52" s="7"/>
      <c r="AE52" s="7"/>
      <c r="AF52" s="7"/>
      <c r="AG52" s="7"/>
      <c r="AH52" s="7"/>
      <c r="AI52" s="7"/>
      <c r="AJ52" s="7"/>
      <c r="AK52" s="7"/>
      <c r="AL52" s="7"/>
    </row>
    <row r="53" ht="12.75" customHeight="1">
      <c r="A53" s="9"/>
      <c r="B53" s="9"/>
      <c r="C53" s="53" t="s">
        <v>276</v>
      </c>
      <c r="D53" s="34" t="s">
        <v>152</v>
      </c>
      <c r="F53" s="30" t="s">
        <v>152</v>
      </c>
      <c r="G53" s="35">
        <f>(SUM('Aantal zeedieren gedood'!G50:G52)/3)</f>
        <v>0.007166666667</v>
      </c>
      <c r="H53" s="35">
        <f>'Aantal zeedieren gedood'!G53</f>
        <v>0.007166666667</v>
      </c>
      <c r="I53" s="25">
        <f>(SUM('Aantal zeedieren gedood'!I50:I52)/3)</f>
        <v>1.666666667</v>
      </c>
      <c r="J53" s="35">
        <f>('Aantal zeedieren gedood'!H53/'Aantal zeedieren gedood'!I53)</f>
        <v>0.0043</v>
      </c>
      <c r="K53" s="35">
        <f>('Aantal zeedieren gedood'!K49-SUM('Aantal zeedieren gedood'!K50:K52))</f>
        <v>0.337</v>
      </c>
      <c r="L53" s="25">
        <f>('Aantal zeedieren gedood'!K53/'Aantal zeedieren gedood'!J53)</f>
        <v>78.37209302</v>
      </c>
      <c r="M53" s="7"/>
      <c r="N53" s="7"/>
      <c r="O53" s="12"/>
      <c r="P53" s="7"/>
      <c r="Q53" s="12"/>
      <c r="R53" s="7"/>
      <c r="S53" s="7"/>
      <c r="T53" s="7"/>
      <c r="U53" s="12"/>
      <c r="V53" s="12"/>
      <c r="W53" s="12"/>
      <c r="X53" s="7"/>
      <c r="Y53" s="16"/>
      <c r="Z53" s="7"/>
      <c r="AA53" s="7"/>
      <c r="AB53" s="7"/>
      <c r="AC53" s="7"/>
      <c r="AD53" s="7"/>
      <c r="AE53" s="7"/>
      <c r="AF53" s="7"/>
      <c r="AG53" s="7"/>
      <c r="AH53" s="7"/>
      <c r="AI53" s="7"/>
      <c r="AJ53" s="7"/>
      <c r="AK53" s="7"/>
      <c r="AL53" s="7"/>
    </row>
    <row r="54" ht="12.75" customHeight="1">
      <c r="A54" s="9"/>
      <c r="B54" s="9"/>
      <c r="C54" s="9"/>
      <c r="D54" s="12"/>
      <c r="E54" s="12"/>
      <c r="F54" s="12"/>
      <c r="G54" s="30"/>
      <c r="H54" s="30"/>
      <c r="I54" s="12"/>
      <c r="J54" s="30"/>
      <c r="K54" s="24"/>
      <c r="L54" s="30"/>
      <c r="M54" s="7"/>
      <c r="N54" s="7"/>
      <c r="O54" s="12"/>
      <c r="P54" s="7"/>
      <c r="Q54" s="12"/>
      <c r="R54" s="7"/>
      <c r="S54" s="7"/>
      <c r="T54" s="7"/>
      <c r="U54" s="12"/>
      <c r="V54" s="12"/>
      <c r="W54" s="12"/>
      <c r="X54" s="7"/>
      <c r="Y54" s="16"/>
      <c r="Z54" s="7"/>
      <c r="AA54" s="7"/>
      <c r="AB54" s="7"/>
      <c r="AC54" s="7"/>
      <c r="AD54" s="7"/>
      <c r="AE54" s="7"/>
      <c r="AF54" s="7"/>
      <c r="AG54" s="7"/>
      <c r="AH54" s="7"/>
      <c r="AI54" s="7"/>
      <c r="AJ54" s="7"/>
      <c r="AK54" s="7"/>
      <c r="AL54" s="7"/>
    </row>
    <row r="55" ht="12.75" customHeight="1">
      <c r="A55" s="9"/>
      <c r="B55" s="9" t="s">
        <v>280</v>
      </c>
      <c r="C55" s="9"/>
      <c r="D55" s="12" t="s">
        <v>59</v>
      </c>
      <c r="F55" s="12" t="s">
        <v>59</v>
      </c>
      <c r="G55" s="12" t="s">
        <v>59</v>
      </c>
      <c r="H55" s="12" t="s">
        <v>59</v>
      </c>
      <c r="I55" s="12" t="s">
        <v>59</v>
      </c>
      <c r="J55" s="12" t="s">
        <v>59</v>
      </c>
      <c r="K55" s="24">
        <v>0.493</v>
      </c>
      <c r="L55" s="25">
        <f>SUM('Aantal zeedieren gedood'!L56:L58)</f>
        <v>19.45470852</v>
      </c>
      <c r="M55" s="7"/>
      <c r="N55" s="17">
        <f>'Aantal zeedieren gedood'!L55</f>
        <v>19.45470852</v>
      </c>
      <c r="O55" s="12"/>
      <c r="P55" s="7"/>
      <c r="Q55" s="12"/>
      <c r="R55" s="7"/>
      <c r="S55" s="7"/>
      <c r="T55" s="7"/>
      <c r="U55" s="12"/>
      <c r="V55" s="12"/>
      <c r="W55" s="12"/>
      <c r="X55" s="7"/>
      <c r="Y55" s="16"/>
      <c r="Z55" s="7"/>
      <c r="AA55" s="7"/>
      <c r="AB55" s="7"/>
      <c r="AC55" s="7"/>
      <c r="AD55" s="7"/>
      <c r="AE55" s="7"/>
      <c r="AF55" s="7"/>
      <c r="AG55" s="7"/>
      <c r="AH55" s="7"/>
      <c r="AI55" s="7"/>
      <c r="AJ55" s="7"/>
      <c r="AK55" s="7"/>
      <c r="AL55" s="7"/>
    </row>
    <row r="56" ht="12.75" customHeight="1">
      <c r="A56" s="9"/>
      <c r="B56" s="9"/>
      <c r="C56" s="9" t="s">
        <v>253</v>
      </c>
      <c r="D56" s="26" t="s">
        <v>281</v>
      </c>
      <c r="F56" s="12" t="s">
        <v>282</v>
      </c>
      <c r="G56" s="30">
        <f>((0.035+0.038)/2)</f>
        <v>0.0365</v>
      </c>
      <c r="H56" s="35">
        <f>(('Aantal zeedieren gedood'!G56+'Aantal zeedieren gedood'!G57)/2)</f>
        <v>0.05575</v>
      </c>
      <c r="I56" s="12">
        <v>2.65</v>
      </c>
      <c r="J56" s="35">
        <f>('Aantal zeedieren gedood'!H56/(('Aantal zeedieren gedood'!I56+'Aantal zeedieren gedood'!I57)/2))</f>
        <v>0.02534090909</v>
      </c>
      <c r="K56" s="24">
        <v>0.296</v>
      </c>
      <c r="L56" s="25">
        <f>('Aantal zeedieren gedood'!K56/'Aantal zeedieren gedood'!J56)</f>
        <v>11.68071749</v>
      </c>
      <c r="M56" s="7"/>
      <c r="N56" s="7"/>
      <c r="O56" s="12"/>
      <c r="P56" s="7"/>
      <c r="Q56" s="12"/>
      <c r="R56" s="7"/>
      <c r="S56" s="7"/>
      <c r="T56" s="7"/>
      <c r="U56" s="12"/>
      <c r="V56" s="12"/>
      <c r="W56" s="12"/>
      <c r="X56" s="7"/>
      <c r="Y56" s="16"/>
      <c r="Z56" s="7"/>
      <c r="AA56" s="7"/>
      <c r="AB56" s="7"/>
      <c r="AC56" s="7"/>
      <c r="AD56" s="7"/>
      <c r="AE56" s="7"/>
      <c r="AF56" s="7"/>
      <c r="AG56" s="7"/>
      <c r="AH56" s="7"/>
      <c r="AI56" s="7"/>
      <c r="AJ56" s="7"/>
      <c r="AK56" s="7"/>
      <c r="AL56" s="7"/>
    </row>
    <row r="57" ht="12.75" customHeight="1">
      <c r="A57" s="9"/>
      <c r="B57" s="9"/>
      <c r="C57" s="9"/>
      <c r="D57" s="26" t="s">
        <v>283</v>
      </c>
      <c r="F57" s="12" t="s">
        <v>284</v>
      </c>
      <c r="G57" s="30">
        <f>((0.02+0.13)/2)</f>
        <v>0.075</v>
      </c>
      <c r="H57" s="30"/>
      <c r="I57" s="12">
        <v>1.75</v>
      </c>
      <c r="J57" s="25"/>
      <c r="K57" s="24"/>
      <c r="L57" s="30"/>
      <c r="M57" s="7"/>
      <c r="N57" s="7"/>
      <c r="O57" s="12"/>
      <c r="P57" s="7"/>
      <c r="Q57" s="12"/>
      <c r="R57" s="7"/>
      <c r="S57" s="7"/>
      <c r="T57" s="7"/>
      <c r="U57" s="12"/>
      <c r="V57" s="12"/>
      <c r="W57" s="12"/>
      <c r="X57" s="7"/>
      <c r="Y57" s="16"/>
      <c r="Z57" s="7"/>
      <c r="AA57" s="7"/>
      <c r="AB57" s="7"/>
      <c r="AC57" s="7"/>
      <c r="AD57" s="7"/>
      <c r="AE57" s="7"/>
      <c r="AF57" s="7"/>
      <c r="AG57" s="7"/>
      <c r="AH57" s="7"/>
      <c r="AI57" s="7"/>
      <c r="AJ57" s="7"/>
      <c r="AK57" s="7"/>
      <c r="AL57" s="7"/>
    </row>
    <row r="58" ht="12.75" customHeight="1">
      <c r="A58" s="9"/>
      <c r="B58" s="9"/>
      <c r="C58" s="33" t="s">
        <v>276</v>
      </c>
      <c r="D58" s="34" t="s">
        <v>152</v>
      </c>
      <c r="F58" s="30" t="s">
        <v>152</v>
      </c>
      <c r="G58" s="35">
        <f>(SUM('Aantal zeedieren gedood'!G56:G57)/2)</f>
        <v>0.05575</v>
      </c>
      <c r="H58" s="35">
        <f>'Aantal zeedieren gedood'!G58</f>
        <v>0.05575</v>
      </c>
      <c r="I58" s="25">
        <f>(SUM('Aantal zeedieren gedood'!I56:I57)/2)</f>
        <v>2.2</v>
      </c>
      <c r="J58" s="35">
        <f>('Aantal zeedieren gedood'!H58/'Aantal zeedieren gedood'!I58)</f>
        <v>0.02534090909</v>
      </c>
      <c r="K58" s="35">
        <f>('Aantal zeedieren gedood'!K55-SUM('Aantal zeedieren gedood'!K56:K57))</f>
        <v>0.197</v>
      </c>
      <c r="L58" s="25">
        <f>('Aantal zeedieren gedood'!K58/'Aantal zeedieren gedood'!J58)</f>
        <v>7.773991031</v>
      </c>
      <c r="M58" s="7"/>
      <c r="N58" s="7"/>
      <c r="O58" s="12"/>
      <c r="P58" s="7"/>
      <c r="Q58" s="12"/>
      <c r="R58" s="7"/>
      <c r="S58" s="7"/>
      <c r="T58" s="7"/>
      <c r="U58" s="12"/>
      <c r="V58" s="12"/>
      <c r="W58" s="12"/>
      <c r="X58" s="7"/>
      <c r="Y58" s="16"/>
      <c r="Z58" s="7"/>
      <c r="AA58" s="7"/>
      <c r="AB58" s="7"/>
      <c r="AC58" s="7"/>
      <c r="AD58" s="7"/>
      <c r="AE58" s="7"/>
      <c r="AF58" s="7"/>
      <c r="AG58" s="7"/>
      <c r="AH58" s="7"/>
      <c r="AI58" s="7"/>
      <c r="AJ58" s="7"/>
      <c r="AK58" s="7"/>
      <c r="AL58" s="7"/>
    </row>
    <row r="59" ht="12.75" customHeight="1">
      <c r="A59" s="9"/>
      <c r="B59" s="9"/>
      <c r="C59" s="9"/>
      <c r="D59" s="12"/>
      <c r="E59" s="12"/>
      <c r="F59" s="12"/>
      <c r="G59" s="30"/>
      <c r="H59" s="30"/>
      <c r="I59" s="12"/>
      <c r="J59" s="30"/>
      <c r="K59" s="24"/>
      <c r="L59" s="30"/>
      <c r="M59" s="7"/>
      <c r="N59" s="7"/>
      <c r="O59" s="12"/>
      <c r="P59" s="7"/>
      <c r="Q59" s="12"/>
      <c r="R59" s="17"/>
      <c r="S59" s="17"/>
      <c r="T59" s="7"/>
      <c r="U59" s="12"/>
      <c r="V59" s="12"/>
      <c r="W59" s="12"/>
      <c r="X59" s="7"/>
      <c r="Y59" s="16"/>
      <c r="Z59" s="7"/>
      <c r="AA59" s="7"/>
      <c r="AB59" s="7"/>
      <c r="AC59" s="7"/>
      <c r="AD59" s="7"/>
      <c r="AE59" s="7"/>
      <c r="AF59" s="7"/>
      <c r="AG59" s="7"/>
      <c r="AH59" s="7"/>
      <c r="AI59" s="7"/>
      <c r="AJ59" s="7"/>
      <c r="AK59" s="7"/>
      <c r="AL59" s="7"/>
    </row>
    <row r="60" ht="12.75" customHeight="1">
      <c r="A60" s="9"/>
      <c r="B60" s="9" t="s">
        <v>285</v>
      </c>
      <c r="C60" s="9"/>
      <c r="D60" s="30" t="s">
        <v>59</v>
      </c>
      <c r="F60" s="12" t="s">
        <v>59</v>
      </c>
      <c r="G60" s="25">
        <f>(('Aantal zeedieren gedood'!G26+'Aantal zeedieren gedood'!G53)/2)</f>
        <v>1.433583333</v>
      </c>
      <c r="H60" s="25">
        <f>'Aantal zeedieren gedood'!G60</f>
        <v>1.433583333</v>
      </c>
      <c r="I60" s="16">
        <f>(('Aantal zeedieren gedood'!I26+'Aantal zeedieren gedood'!I53)/2)</f>
        <v>1.39329697</v>
      </c>
      <c r="J60" s="25">
        <f>('Aantal zeedieren gedood'!H60/'Aantal zeedieren gedood'!I60)</f>
        <v>1.028914413</v>
      </c>
      <c r="K60" s="24">
        <v>0.663</v>
      </c>
      <c r="L60" s="25">
        <f>(('Aantal zeedieren gedood'!K60*0.8)/'Aantal zeedieren gedood'!J60)</f>
        <v>0.5154947714</v>
      </c>
      <c r="M60" s="17">
        <f>0.5*'Aantal zeedieren gedood'!L60</f>
        <v>0.2577473857</v>
      </c>
      <c r="N60" s="17">
        <f>0.5*('Aantal zeedieren gedood'!L51+'Aantal zeedieren gedood'!L52)/'Aantal zeedieren gedood'!L49*'Aantal zeedieren gedood'!L60</f>
        <v>0.1885661984</v>
      </c>
      <c r="O60" s="16">
        <f>'Aantal zeedieren gedood'!O73</f>
        <v>0.522896345</v>
      </c>
      <c r="P60" s="17">
        <f>'Aantal zeedieren gedood'!O60*'Aantal zeedieren gedood'!M60</f>
        <v>0.1347751659</v>
      </c>
      <c r="Q60" s="16">
        <f>'Aantal zeedieren gedood'!Q73</f>
        <v>27.125</v>
      </c>
      <c r="R60" s="17">
        <f>'Aantal zeedieren gedood'!P60*'Aantal zeedieren gedood'!Q60</f>
        <v>3.655776376</v>
      </c>
      <c r="S60" s="17"/>
      <c r="T60" s="7"/>
      <c r="U60" s="12"/>
      <c r="V60" s="12"/>
      <c r="W60" s="12"/>
      <c r="X60" s="27"/>
      <c r="Y60" s="16"/>
      <c r="Z60" s="7"/>
      <c r="AA60" s="7">
        <f>'Aantal zeedieren gedood'!W60*'Aantal zeedieren gedood'!O60</f>
        <v>0</v>
      </c>
      <c r="AB60" s="7">
        <f>'Aantal zeedieren gedood'!O60*'Aantal zeedieren gedood'!L60</f>
        <v>0.2695503318</v>
      </c>
      <c r="AC60" s="7"/>
      <c r="AD60" s="7"/>
      <c r="AE60" s="7"/>
      <c r="AF60" s="7"/>
      <c r="AG60" s="7"/>
      <c r="AH60" s="7"/>
      <c r="AI60" s="7"/>
      <c r="AJ60" s="7"/>
      <c r="AK60" s="7"/>
      <c r="AL60" s="7"/>
    </row>
    <row r="61" ht="12.75" customHeight="1">
      <c r="A61" s="9"/>
      <c r="B61" s="9"/>
      <c r="C61" s="33" t="s">
        <v>276</v>
      </c>
      <c r="D61" s="34" t="s">
        <v>152</v>
      </c>
      <c r="F61" s="30" t="s">
        <v>152</v>
      </c>
      <c r="G61" s="25">
        <f>(SUM('Aantal zeedieren gedood'!G60)/1)</f>
        <v>1.433583333</v>
      </c>
      <c r="H61" s="25" t="s">
        <v>59</v>
      </c>
      <c r="I61" s="25">
        <f>(SUM('Aantal zeedieren gedood'!I60)/1)</f>
        <v>1.39329697</v>
      </c>
      <c r="J61" s="25" t="s">
        <v>59</v>
      </c>
      <c r="K61" s="25"/>
      <c r="L61" s="25" t="s">
        <v>59</v>
      </c>
      <c r="M61" s="17"/>
      <c r="N61" s="17"/>
      <c r="O61" s="16"/>
      <c r="P61" s="17"/>
      <c r="Q61" s="7"/>
      <c r="R61" s="17"/>
      <c r="S61" s="17"/>
      <c r="T61" s="7"/>
      <c r="U61" s="12"/>
      <c r="V61" s="7"/>
      <c r="W61" s="12"/>
      <c r="X61" s="7"/>
      <c r="Y61" s="16"/>
      <c r="Z61" s="7"/>
      <c r="AA61" s="7"/>
      <c r="AB61" s="7"/>
      <c r="AC61" s="7"/>
      <c r="AD61" s="7"/>
      <c r="AE61" s="7"/>
      <c r="AF61" s="7"/>
      <c r="AG61" s="7"/>
      <c r="AH61" s="7"/>
      <c r="AI61" s="7"/>
      <c r="AJ61" s="7"/>
      <c r="AK61" s="7"/>
      <c r="AL61" s="7"/>
    </row>
    <row r="62" ht="12.75" customHeight="1">
      <c r="A62" s="9"/>
      <c r="B62" s="9"/>
      <c r="C62" s="9"/>
      <c r="D62" s="9"/>
      <c r="E62" s="12"/>
      <c r="F62" s="12"/>
      <c r="G62" s="30"/>
      <c r="H62" s="30"/>
      <c r="I62" s="12"/>
      <c r="J62" s="30"/>
      <c r="K62" s="24"/>
      <c r="L62" s="30"/>
      <c r="M62" s="17"/>
      <c r="N62" s="17"/>
      <c r="O62" s="16"/>
      <c r="P62" s="17"/>
      <c r="Q62" s="12"/>
      <c r="R62" s="17"/>
      <c r="S62" s="17"/>
      <c r="T62" s="7"/>
      <c r="U62" s="12"/>
      <c r="V62" s="12"/>
      <c r="W62" s="12"/>
      <c r="X62" s="7"/>
      <c r="Y62" s="16"/>
      <c r="Z62" s="7"/>
      <c r="AA62" s="7"/>
      <c r="AB62" s="7"/>
      <c r="AC62" s="7"/>
      <c r="AD62" s="7"/>
      <c r="AE62" s="7"/>
      <c r="AF62" s="7"/>
      <c r="AG62" s="7"/>
      <c r="AH62" s="7"/>
      <c r="AI62" s="7"/>
      <c r="AJ62" s="7"/>
      <c r="AK62" s="7"/>
      <c r="AL62" s="7"/>
    </row>
    <row r="63" ht="12.75" customHeight="1">
      <c r="A63" s="9"/>
      <c r="B63" s="9" t="s">
        <v>286</v>
      </c>
      <c r="C63" s="9"/>
      <c r="D63" s="12" t="s">
        <v>59</v>
      </c>
      <c r="F63" s="12" t="s">
        <v>59</v>
      </c>
      <c r="G63" s="12" t="s">
        <v>59</v>
      </c>
      <c r="H63" s="12" t="s">
        <v>59</v>
      </c>
      <c r="I63" s="12" t="s">
        <v>59</v>
      </c>
      <c r="J63" s="12" t="s">
        <v>59</v>
      </c>
      <c r="K63" s="24">
        <v>1.741</v>
      </c>
      <c r="L63" s="25">
        <f>SUM('Aantal zeedieren gedood'!L64:L73)</f>
        <v>3.11056661</v>
      </c>
      <c r="M63" s="17"/>
      <c r="N63" s="17">
        <f>0.5*('Aantal zeedieren gedood'!L51+'Aantal zeedieren gedood'!L52)/'Aantal zeedieren gedood'!L49*'Aantal zeedieren gedood'!L63</f>
        <v>1.137834471</v>
      </c>
      <c r="O63" s="16"/>
      <c r="P63" s="17"/>
      <c r="Q63" s="12"/>
      <c r="R63" s="17"/>
      <c r="S63" s="17"/>
      <c r="T63" s="7"/>
      <c r="U63" s="12"/>
      <c r="V63" s="12"/>
      <c r="W63" s="12"/>
      <c r="X63" s="7"/>
      <c r="Y63" s="16"/>
      <c r="Z63" s="7"/>
      <c r="AA63" s="7"/>
      <c r="AB63" s="7"/>
      <c r="AC63" s="7"/>
      <c r="AD63" s="7"/>
      <c r="AE63" s="7"/>
      <c r="AF63" s="7"/>
      <c r="AG63" s="7"/>
      <c r="AH63" s="7"/>
      <c r="AI63" s="7"/>
      <c r="AJ63" s="7"/>
      <c r="AK63" s="7"/>
      <c r="AL63" s="7"/>
    </row>
    <row r="64" ht="12.75" customHeight="1">
      <c r="A64" s="9"/>
      <c r="B64" s="9"/>
      <c r="C64" s="9" t="s">
        <v>255</v>
      </c>
      <c r="D64" s="26" t="s">
        <v>73</v>
      </c>
      <c r="F64" s="12" t="s">
        <v>75</v>
      </c>
      <c r="G64" s="25">
        <f>((1+8)/2)</f>
        <v>4.5</v>
      </c>
      <c r="H64" s="25">
        <f>(('Aantal zeedieren gedood'!G64+'Aantal zeedieren gedood'!G65+'Aantal zeedieren gedood'!G66+'Aantal zeedieren gedood'!G67+'Aantal zeedieren gedood'!G68+'Aantal zeedieren gedood'!G69+'Aantal zeedieren gedood'!G70+'Aantal zeedieren gedood'!G71+'Aantal zeedieren gedood'!G72)/9)</f>
        <v>2.738888889</v>
      </c>
      <c r="I64" s="16">
        <v>2.75</v>
      </c>
      <c r="J64" s="25">
        <f>('Aantal zeedieren gedood'!H64/(('Aantal zeedieren gedood'!I64+'Aantal zeedieren gedood'!I65+'Aantal zeedieren gedood'!I66+'Aantal zeedieren gedood'!I67+'Aantal zeedieren gedood'!I68+'Aantal zeedieren gedood'!I69+'Aantal zeedieren gedood'!I70+'Aantal zeedieren gedood'!I71+'Aantal zeedieren gedood'!I72)/9))</f>
        <v>1.064610866</v>
      </c>
      <c r="K64" s="24">
        <v>0.509</v>
      </c>
      <c r="L64" s="25">
        <f>(('Aantal zeedieren gedood'!K64*0.8)/'Aantal zeedieren gedood'!J64)</f>
        <v>0.3824871724</v>
      </c>
      <c r="M64" s="17">
        <f>0.5*'Aantal zeedieren gedood'!L64</f>
        <v>0.1912435862</v>
      </c>
      <c r="N64" s="17"/>
      <c r="O64" s="16">
        <f>'Aantal zeedieren gedood'!O16</f>
        <v>0.974522293</v>
      </c>
      <c r="P64" s="17">
        <f>'Aantal zeedieren gedood'!O64*'Aantal zeedieren gedood'!M64</f>
        <v>0.1863711382</v>
      </c>
      <c r="Q64" s="12">
        <f>(24+24+29+29)/4</f>
        <v>26.5</v>
      </c>
      <c r="R64" s="17">
        <f>'Aantal zeedieren gedood'!P64*'Aantal zeedieren gedood'!Q64</f>
        <v>4.938835161</v>
      </c>
      <c r="S64" s="17"/>
      <c r="T64" s="7"/>
      <c r="U64" s="12"/>
      <c r="V64" s="12"/>
      <c r="W64" s="12"/>
      <c r="X64" s="27"/>
      <c r="Y64" s="16"/>
      <c r="Z64" s="7"/>
      <c r="AA64" s="7">
        <f>'Aantal zeedieren gedood'!O73*'Aantal zeedieren gedood'!K64</f>
        <v>0.2661542396</v>
      </c>
      <c r="AB64" s="7">
        <f>'Aantal zeedieren gedood'!O64*'Aantal zeedieren gedood'!L64</f>
        <v>0.3727422763</v>
      </c>
      <c r="AC64" s="7"/>
      <c r="AD64" s="7"/>
      <c r="AE64" s="7"/>
      <c r="AF64" s="7"/>
      <c r="AG64" s="7"/>
      <c r="AH64" s="7"/>
      <c r="AI64" s="7"/>
      <c r="AJ64" s="7"/>
      <c r="AK64" s="7"/>
      <c r="AL64" s="7"/>
    </row>
    <row r="65" ht="12.75" customHeight="1">
      <c r="A65" s="9"/>
      <c r="B65" s="9"/>
      <c r="C65" s="9"/>
      <c r="D65" s="26" t="s">
        <v>83</v>
      </c>
      <c r="F65" s="12" t="s">
        <v>84</v>
      </c>
      <c r="G65" s="25">
        <f>((1+3)/2)</f>
        <v>2</v>
      </c>
      <c r="H65" s="30"/>
      <c r="I65" s="16">
        <f>((2.81+3.11+2.6+2.6+2.6+2.48+2.6+3.48+2.6+2.6)/10)</f>
        <v>2.748</v>
      </c>
      <c r="J65" s="25"/>
      <c r="K65" s="24"/>
      <c r="L65" s="25"/>
      <c r="M65" s="17"/>
      <c r="N65" s="17"/>
      <c r="O65" s="16">
        <f>'Aantal zeedieren gedood'!O16</f>
        <v>0.974522293</v>
      </c>
      <c r="P65" s="17"/>
      <c r="Q65" s="12">
        <v>24.0</v>
      </c>
      <c r="R65" s="17"/>
      <c r="S65" s="17"/>
      <c r="T65" s="7"/>
      <c r="U65" s="12"/>
      <c r="V65" s="12"/>
      <c r="W65" s="12"/>
      <c r="X65" s="27"/>
      <c r="Y65" s="16"/>
      <c r="Z65" s="7"/>
      <c r="AA65" s="7"/>
      <c r="AB65" s="7"/>
      <c r="AC65" s="7"/>
      <c r="AD65" s="7"/>
      <c r="AE65" s="7"/>
      <c r="AF65" s="7"/>
      <c r="AG65" s="7"/>
      <c r="AH65" s="7"/>
      <c r="AI65" s="7"/>
      <c r="AJ65" s="7"/>
      <c r="AK65" s="7"/>
      <c r="AL65" s="7"/>
    </row>
    <row r="66" ht="12.75" customHeight="1">
      <c r="A66" s="9"/>
      <c r="B66" s="9"/>
      <c r="C66" s="9"/>
      <c r="D66" s="26" t="s">
        <v>289</v>
      </c>
      <c r="F66" s="12" t="s">
        <v>290</v>
      </c>
      <c r="G66" s="30">
        <f>((0.9+5)/2)</f>
        <v>2.95</v>
      </c>
      <c r="H66" s="30"/>
      <c r="I66" s="16">
        <f>((3.37+2.6+3+2.23+2.6)/5)</f>
        <v>2.76</v>
      </c>
      <c r="J66" s="25"/>
      <c r="K66" s="24"/>
      <c r="L66" s="25"/>
      <c r="M66" s="17"/>
      <c r="N66" s="17"/>
      <c r="O66" s="16"/>
      <c r="P66" s="17"/>
      <c r="Q66" s="12"/>
      <c r="R66" s="17"/>
      <c r="S66" s="17"/>
      <c r="T66" s="7"/>
      <c r="U66" s="12"/>
      <c r="V66" s="12"/>
      <c r="W66" s="12"/>
      <c r="X66" s="7"/>
      <c r="Y66" s="16"/>
      <c r="Z66" s="7"/>
      <c r="AA66" s="7"/>
      <c r="AB66" s="7"/>
      <c r="AC66" s="7"/>
      <c r="AD66" s="7"/>
      <c r="AE66" s="7"/>
      <c r="AF66" s="7"/>
      <c r="AG66" s="7"/>
      <c r="AH66" s="7"/>
      <c r="AI66" s="7"/>
      <c r="AJ66" s="7"/>
      <c r="AK66" s="7"/>
      <c r="AL66" s="7"/>
    </row>
    <row r="67" ht="12.75" customHeight="1">
      <c r="A67" s="9"/>
      <c r="B67" s="9"/>
      <c r="C67" s="9"/>
      <c r="D67" s="26" t="s">
        <v>291</v>
      </c>
      <c r="F67" s="12" t="s">
        <v>292</v>
      </c>
      <c r="G67" s="25">
        <f>((1+2)/2)</f>
        <v>1.5</v>
      </c>
      <c r="H67" s="30"/>
      <c r="I67" s="16">
        <f>((3+2.4+2.7+2.7)/4)</f>
        <v>2.7</v>
      </c>
      <c r="J67" s="25"/>
      <c r="K67" s="24"/>
      <c r="L67" s="25"/>
      <c r="M67" s="17"/>
      <c r="N67" s="17"/>
      <c r="O67" s="16"/>
      <c r="P67" s="17"/>
      <c r="Q67" s="12"/>
      <c r="R67" s="17"/>
      <c r="S67" s="17"/>
      <c r="T67" s="7"/>
      <c r="U67" s="12"/>
      <c r="V67" s="12"/>
      <c r="W67" s="12"/>
      <c r="X67" s="7"/>
      <c r="Y67" s="16"/>
      <c r="Z67" s="7"/>
      <c r="AA67" s="7"/>
      <c r="AB67" s="7"/>
      <c r="AC67" s="7"/>
      <c r="AD67" s="7"/>
      <c r="AE67" s="7"/>
      <c r="AF67" s="7"/>
      <c r="AG67" s="7"/>
      <c r="AH67" s="7"/>
      <c r="AI67" s="7"/>
      <c r="AJ67" s="7"/>
      <c r="AK67" s="7"/>
      <c r="AL67" s="7"/>
    </row>
    <row r="68" ht="12.75" customHeight="1">
      <c r="A68" s="9"/>
      <c r="B68" s="9"/>
      <c r="C68" s="9"/>
      <c r="D68" s="26" t="s">
        <v>95</v>
      </c>
      <c r="F68" s="12" t="s">
        <v>96</v>
      </c>
      <c r="G68" s="25">
        <f>((2+10)/2)</f>
        <v>6</v>
      </c>
      <c r="H68" s="30"/>
      <c r="I68" s="16">
        <v>1.96</v>
      </c>
      <c r="J68" s="25"/>
      <c r="K68" s="24"/>
      <c r="L68" s="25"/>
      <c r="M68" s="17"/>
      <c r="N68" s="17"/>
      <c r="O68" s="16">
        <f>'Aantal zeedieren gedood'!O18</f>
        <v>0.69</v>
      </c>
      <c r="P68" s="17"/>
      <c r="Q68" s="12">
        <v>29.0</v>
      </c>
      <c r="R68" s="17"/>
      <c r="S68" s="17"/>
      <c r="T68" s="7"/>
      <c r="U68" s="12"/>
      <c r="V68" s="12"/>
      <c r="W68" s="12"/>
      <c r="X68" s="27"/>
      <c r="Y68" s="16"/>
      <c r="Z68" s="7"/>
      <c r="AA68" s="7"/>
      <c r="AB68" s="7"/>
      <c r="AC68" s="7"/>
      <c r="AD68" s="7"/>
      <c r="AE68" s="7"/>
      <c r="AF68" s="7"/>
      <c r="AG68" s="7"/>
      <c r="AH68" s="7"/>
      <c r="AI68" s="7"/>
      <c r="AJ68" s="7"/>
      <c r="AK68" s="7"/>
      <c r="AL68" s="7"/>
    </row>
    <row r="69" ht="12.75" customHeight="1">
      <c r="A69" s="9"/>
      <c r="B69" s="9"/>
      <c r="C69" s="9"/>
      <c r="D69" s="26" t="s">
        <v>160</v>
      </c>
      <c r="F69" s="12" t="s">
        <v>161</v>
      </c>
      <c r="G69" s="30">
        <f t="shared" ref="G69:G70" si="4">((0.5+3)/2)</f>
        <v>1.75</v>
      </c>
      <c r="H69" s="30"/>
      <c r="I69" s="16">
        <f>((3.1+2.7+2.7)/3)</f>
        <v>2.833333333</v>
      </c>
      <c r="J69" s="25"/>
      <c r="K69" s="24"/>
      <c r="L69" s="25"/>
      <c r="M69" s="17"/>
      <c r="N69" s="17"/>
      <c r="O69" s="16"/>
      <c r="P69" s="17"/>
      <c r="Q69" s="12"/>
      <c r="R69" s="17"/>
      <c r="S69" s="17"/>
      <c r="T69" s="7"/>
      <c r="U69" s="12"/>
      <c r="V69" s="12"/>
      <c r="W69" s="12"/>
      <c r="X69" s="7"/>
      <c r="Y69" s="16"/>
      <c r="Z69" s="7"/>
      <c r="AA69" s="7"/>
      <c r="AB69" s="7"/>
      <c r="AC69" s="7"/>
      <c r="AD69" s="7"/>
      <c r="AE69" s="7"/>
      <c r="AF69" s="7"/>
      <c r="AG69" s="7"/>
      <c r="AH69" s="7"/>
      <c r="AI69" s="7"/>
      <c r="AJ69" s="7"/>
      <c r="AK69" s="7"/>
      <c r="AL69" s="7"/>
    </row>
    <row r="70" ht="12.75" customHeight="1">
      <c r="A70" s="9"/>
      <c r="B70" s="9"/>
      <c r="C70" s="9"/>
      <c r="D70" s="26" t="s">
        <v>173</v>
      </c>
      <c r="F70" s="12" t="s">
        <v>161</v>
      </c>
      <c r="G70" s="30">
        <f t="shared" si="4"/>
        <v>1.75</v>
      </c>
      <c r="H70" s="30"/>
      <c r="I70" s="16">
        <f>((2.73+2.9+2.43+2.46+2.9)/5)</f>
        <v>2.684</v>
      </c>
      <c r="J70" s="25"/>
      <c r="K70" s="24"/>
      <c r="L70" s="25"/>
      <c r="M70" s="17"/>
      <c r="N70" s="17"/>
      <c r="O70" s="16"/>
      <c r="P70" s="17"/>
      <c r="Q70" s="12"/>
      <c r="R70" s="17"/>
      <c r="S70" s="17"/>
      <c r="T70" s="7"/>
      <c r="U70" s="12"/>
      <c r="V70" s="12"/>
      <c r="W70" s="12"/>
      <c r="X70" s="7"/>
      <c r="Y70" s="16"/>
      <c r="Z70" s="7"/>
      <c r="AA70" s="7"/>
      <c r="AB70" s="7"/>
      <c r="AC70" s="7"/>
      <c r="AD70" s="7"/>
      <c r="AE70" s="7"/>
      <c r="AF70" s="7"/>
      <c r="AG70" s="7"/>
      <c r="AH70" s="7"/>
      <c r="AI70" s="7"/>
      <c r="AJ70" s="7"/>
      <c r="AK70" s="7"/>
      <c r="AL70" s="7"/>
    </row>
    <row r="71" ht="12.75" customHeight="1">
      <c r="A71" s="9"/>
      <c r="B71" s="9"/>
      <c r="C71" s="9"/>
      <c r="D71" s="26" t="s">
        <v>174</v>
      </c>
      <c r="F71" s="12" t="s">
        <v>175</v>
      </c>
      <c r="G71" s="25">
        <f>((0.6+0.8)/2)</f>
        <v>0.7</v>
      </c>
      <c r="H71" s="30"/>
      <c r="I71" s="16">
        <f>(('Aantal zeedieren gedood'!I69+'Aantal zeedieren gedood'!I70)/2)</f>
        <v>2.758666667</v>
      </c>
      <c r="J71" s="25"/>
      <c r="K71" s="24"/>
      <c r="L71" s="25"/>
      <c r="M71" s="17"/>
      <c r="N71" s="17"/>
      <c r="O71" s="16"/>
      <c r="P71" s="17"/>
      <c r="Q71" s="12"/>
      <c r="R71" s="17"/>
      <c r="S71" s="17"/>
      <c r="T71" s="7"/>
      <c r="U71" s="12"/>
      <c r="V71" s="12"/>
      <c r="W71" s="12"/>
      <c r="X71" s="7"/>
      <c r="Y71" s="16"/>
      <c r="Z71" s="7"/>
      <c r="AA71" s="7"/>
      <c r="AB71" s="7"/>
      <c r="AC71" s="7"/>
      <c r="AD71" s="7"/>
      <c r="AE71" s="7"/>
      <c r="AF71" s="7"/>
      <c r="AG71" s="7"/>
      <c r="AH71" s="7"/>
      <c r="AI71" s="7"/>
      <c r="AJ71" s="7"/>
      <c r="AK71" s="7"/>
      <c r="AL71" s="7"/>
    </row>
    <row r="72" ht="12.75" customHeight="1">
      <c r="A72" s="9"/>
      <c r="B72" s="9"/>
      <c r="C72" s="9"/>
      <c r="D72" s="26" t="s">
        <v>100</v>
      </c>
      <c r="F72" s="12" t="s">
        <v>101</v>
      </c>
      <c r="G72" s="25">
        <f>((1+6)/2)</f>
        <v>3.5</v>
      </c>
      <c r="H72" s="30"/>
      <c r="I72" s="16">
        <f>((1.39+2.8+1.69)/3)</f>
        <v>1.96</v>
      </c>
      <c r="J72" s="25"/>
      <c r="K72" s="24"/>
      <c r="L72" s="25"/>
      <c r="M72" s="17"/>
      <c r="N72" s="17"/>
      <c r="O72" s="16">
        <f>'Aantal zeedieren gedood'!O18</f>
        <v>0.69</v>
      </c>
      <c r="P72" s="17"/>
      <c r="Q72" s="12">
        <v>29.0</v>
      </c>
      <c r="R72" s="17"/>
      <c r="S72" s="17"/>
      <c r="T72" s="7"/>
      <c r="U72" s="12"/>
      <c r="V72" s="12"/>
      <c r="W72" s="12"/>
      <c r="X72" s="27"/>
      <c r="Y72" s="16"/>
      <c r="Z72" s="7"/>
      <c r="AA72" s="7"/>
      <c r="AB72" s="7"/>
      <c r="AC72" s="7"/>
      <c r="AD72" s="7"/>
      <c r="AE72" s="7"/>
      <c r="AF72" s="7"/>
      <c r="AG72" s="7"/>
      <c r="AH72" s="7"/>
      <c r="AI72" s="7"/>
      <c r="AJ72" s="7"/>
      <c r="AK72" s="7"/>
      <c r="AL72" s="7"/>
    </row>
    <row r="73" ht="12.75" customHeight="1">
      <c r="A73" s="9"/>
      <c r="B73" s="9"/>
      <c r="C73" s="33" t="s">
        <v>293</v>
      </c>
      <c r="D73" s="34" t="s">
        <v>152</v>
      </c>
      <c r="F73" s="30" t="s">
        <v>152</v>
      </c>
      <c r="G73" s="25">
        <f>(((SUM('Aantal zeedieren gedood'!G64:G72)/9)*0.29)+('Aantal zeedieren gedood'!G58*0.71))</f>
        <v>0.8338602778</v>
      </c>
      <c r="H73" s="25">
        <f>'Aantal zeedieren gedood'!G73</f>
        <v>0.8338602778</v>
      </c>
      <c r="I73" s="25">
        <f>(((SUM('Aantal zeedieren gedood'!I64:I72)/9)*0.29)+('Aantal zeedieren gedood'!I58*0.71))</f>
        <v>2.308073333</v>
      </c>
      <c r="J73" s="25">
        <f>('Aantal zeedieren gedood'!H73/'Aantal zeedieren gedood'!I73)</f>
        <v>0.3612798024</v>
      </c>
      <c r="K73" s="35">
        <f>('Aantal zeedieren gedood'!K63-SUM('Aantal zeedieren gedood'!K64:K72))</f>
        <v>1.232</v>
      </c>
      <c r="L73" s="25">
        <f>(('Aantal zeedieren gedood'!K73*0.8)/'Aantal zeedieren gedood'!J73)</f>
        <v>2.728079437</v>
      </c>
      <c r="M73" s="17">
        <f>0.5*'Aantal zeedieren gedood'!L73</f>
        <v>1.364039719</v>
      </c>
      <c r="N73" s="17"/>
      <c r="O73" s="16">
        <f>('Aantal zeedieren gedood'!O64*'Aantal zeedieren gedood'!G64+'Aantal zeedieren gedood'!O65*'Aantal zeedieren gedood'!G65+'Aantal zeedieren gedood'!O68*'Aantal zeedieren gedood'!G68+'Aantal zeedieren gedood'!O72*'Aantal zeedieren gedood'!G72)/SUM('Aantal zeedieren gedood'!G64:G72)</f>
        <v>0.522896345</v>
      </c>
      <c r="P73" s="17">
        <f>'Aantal zeedieren gedood'!O73*'Aantal zeedieren gedood'!M73</f>
        <v>0.7132513833</v>
      </c>
      <c r="Q73" s="16">
        <f>AVERAGE('Aantal zeedieren gedood'!Q64:Q72)</f>
        <v>27.125</v>
      </c>
      <c r="R73" s="17">
        <f>'Aantal zeedieren gedood'!P73*'Aantal zeedieren gedood'!Q73</f>
        <v>19.34694377</v>
      </c>
      <c r="S73" s="17"/>
      <c r="T73" s="7"/>
      <c r="U73" s="12"/>
      <c r="V73" s="12"/>
      <c r="W73" s="12"/>
      <c r="X73" s="27"/>
      <c r="Y73" s="16"/>
      <c r="Z73" s="7"/>
      <c r="AA73" s="7">
        <f>0.5*0.8*'Aantal zeedieren gedood'!K73*'Aantal zeedieren gedood'!O73</f>
        <v>0.2576833188</v>
      </c>
      <c r="AB73" s="7">
        <f>'Aantal zeedieren gedood'!O73*'Aantal zeedieren gedood'!L73</f>
        <v>1.426502767</v>
      </c>
      <c r="AC73" s="7"/>
      <c r="AD73" s="7"/>
      <c r="AE73" s="7"/>
      <c r="AF73" s="7"/>
      <c r="AG73" s="7"/>
      <c r="AH73" s="7"/>
      <c r="AI73" s="7"/>
      <c r="AJ73" s="7"/>
      <c r="AK73" s="7"/>
      <c r="AL73" s="7"/>
    </row>
    <row r="74" ht="12.75" customHeight="1">
      <c r="A74" s="9"/>
      <c r="B74" s="9"/>
      <c r="C74" s="33"/>
      <c r="D74" s="12"/>
      <c r="E74" s="12"/>
      <c r="F74" s="12"/>
      <c r="G74" s="30"/>
      <c r="H74" s="30"/>
      <c r="I74" s="16"/>
      <c r="J74" s="30"/>
      <c r="K74" s="24"/>
      <c r="L74" s="30"/>
      <c r="M74" s="17"/>
      <c r="N74" s="17"/>
      <c r="O74" s="16"/>
      <c r="P74" s="17"/>
      <c r="Q74" s="12"/>
      <c r="R74" s="17"/>
      <c r="S74" s="17"/>
      <c r="T74" s="7"/>
      <c r="U74" s="12"/>
      <c r="V74" s="12"/>
      <c r="W74" s="12"/>
      <c r="X74" s="7"/>
      <c r="Y74" s="16"/>
      <c r="Z74" s="7"/>
      <c r="AA74" s="7"/>
      <c r="AB74" s="7"/>
      <c r="AC74" s="7"/>
      <c r="AD74" s="7"/>
      <c r="AE74" s="7"/>
      <c r="AF74" s="7"/>
      <c r="AG74" s="7"/>
      <c r="AH74" s="7"/>
      <c r="AI74" s="7"/>
      <c r="AJ74" s="7"/>
      <c r="AK74" s="7"/>
      <c r="AL74" s="7"/>
    </row>
    <row r="75" ht="12.75" customHeight="1">
      <c r="A75" s="9"/>
      <c r="B75" s="9" t="s">
        <v>294</v>
      </c>
      <c r="C75" s="9"/>
      <c r="D75" s="26" t="s">
        <v>295</v>
      </c>
      <c r="F75" s="12" t="s">
        <v>296</v>
      </c>
      <c r="G75" s="25">
        <f>((0.1+0.5)/2)</f>
        <v>0.3</v>
      </c>
      <c r="H75" s="25">
        <f>'Aantal zeedieren gedood'!G75</f>
        <v>0.3</v>
      </c>
      <c r="I75" s="16">
        <f>((2.33+2+2+2+2.03+3.33+2)/7)</f>
        <v>2.241428571</v>
      </c>
      <c r="J75" s="25">
        <f>('Aantal zeedieren gedood'!H75/'Aantal zeedieren gedood'!I75)</f>
        <v>0.1338432122</v>
      </c>
      <c r="K75" s="24">
        <v>0.333</v>
      </c>
      <c r="L75" s="25">
        <f>('Aantal zeedieren gedood'!K75/'Aantal zeedieren gedood'!J75)</f>
        <v>2.487985714</v>
      </c>
      <c r="M75" s="17">
        <f>'Aantal zeedieren gedood'!L75</f>
        <v>2.487985714</v>
      </c>
      <c r="N75" s="17"/>
      <c r="O75" s="16"/>
      <c r="P75" s="17"/>
      <c r="Q75" s="12"/>
      <c r="R75" s="17"/>
      <c r="S75" s="17"/>
      <c r="T75" s="7"/>
      <c r="U75" s="12"/>
      <c r="V75" s="12"/>
      <c r="W75" s="12"/>
      <c r="X75" s="7"/>
      <c r="Y75" s="16"/>
      <c r="Z75" s="7"/>
      <c r="AA75" s="7"/>
      <c r="AB75" s="7"/>
      <c r="AC75" s="7"/>
      <c r="AD75" s="7"/>
      <c r="AE75" s="7"/>
      <c r="AF75" s="7"/>
      <c r="AG75" s="7"/>
      <c r="AH75" s="7"/>
      <c r="AI75" s="7"/>
      <c r="AJ75" s="7"/>
      <c r="AK75" s="7"/>
      <c r="AL75" s="7"/>
    </row>
    <row r="76" ht="12.75" customHeight="1">
      <c r="A76" s="9"/>
      <c r="B76" s="9"/>
      <c r="C76" s="33" t="s">
        <v>276</v>
      </c>
      <c r="D76" s="34" t="s">
        <v>152</v>
      </c>
      <c r="F76" s="30" t="s">
        <v>152</v>
      </c>
      <c r="G76" s="25">
        <f>(SUM('Aantal zeedieren gedood'!G75)/1)</f>
        <v>0.3</v>
      </c>
      <c r="H76" s="25" t="s">
        <v>59</v>
      </c>
      <c r="I76" s="25">
        <f>(SUM('Aantal zeedieren gedood'!I75)/1)</f>
        <v>2.241428571</v>
      </c>
      <c r="J76" s="25" t="s">
        <v>59</v>
      </c>
      <c r="K76" s="25"/>
      <c r="L76" s="25" t="s">
        <v>59</v>
      </c>
      <c r="M76" s="17"/>
      <c r="N76" s="17"/>
      <c r="O76" s="16"/>
      <c r="P76" s="17"/>
      <c r="Q76" s="12"/>
      <c r="R76" s="17"/>
      <c r="S76" s="17"/>
      <c r="T76" s="7"/>
      <c r="U76" s="12"/>
      <c r="V76" s="12"/>
      <c r="W76" s="12"/>
      <c r="X76" s="7"/>
      <c r="Y76" s="16"/>
      <c r="Z76" s="7"/>
      <c r="AA76" s="7"/>
      <c r="AB76" s="7"/>
      <c r="AC76" s="7"/>
      <c r="AD76" s="7"/>
      <c r="AE76" s="7"/>
      <c r="AF76" s="7"/>
      <c r="AG76" s="7"/>
      <c r="AH76" s="7"/>
      <c r="AI76" s="7"/>
      <c r="AJ76" s="7"/>
      <c r="AK76" s="7"/>
      <c r="AL76" s="7"/>
    </row>
    <row r="77" ht="12.75" customHeight="1">
      <c r="A77" s="9"/>
      <c r="B77" s="9"/>
      <c r="C77" s="9"/>
      <c r="D77" s="9"/>
      <c r="E77" s="12"/>
      <c r="F77" s="12"/>
      <c r="G77" s="30"/>
      <c r="H77" s="30"/>
      <c r="I77" s="12"/>
      <c r="J77" s="30"/>
      <c r="K77" s="24"/>
      <c r="L77" s="30"/>
      <c r="M77" s="17"/>
      <c r="N77" s="17"/>
      <c r="O77" s="16"/>
      <c r="P77" s="17"/>
      <c r="Q77" s="12"/>
      <c r="R77" s="17"/>
      <c r="S77" s="17"/>
      <c r="T77" s="7"/>
      <c r="U77" s="12"/>
      <c r="V77" s="12"/>
      <c r="W77" s="12"/>
      <c r="X77" s="7"/>
      <c r="Y77" s="16"/>
      <c r="Z77" s="7"/>
      <c r="AA77" s="7"/>
      <c r="AB77" s="7"/>
      <c r="AC77" s="7"/>
      <c r="AD77" s="7"/>
      <c r="AE77" s="7"/>
      <c r="AF77" s="7"/>
      <c r="AG77" s="7"/>
      <c r="AH77" s="7"/>
      <c r="AI77" s="7"/>
      <c r="AJ77" s="7"/>
      <c r="AK77" s="7"/>
      <c r="AL77" s="7"/>
    </row>
    <row r="78" ht="12.75" customHeight="1">
      <c r="A78" s="9"/>
      <c r="B78" s="9" t="s">
        <v>297</v>
      </c>
      <c r="C78" s="9"/>
      <c r="D78" s="12" t="s">
        <v>59</v>
      </c>
      <c r="F78" s="12" t="s">
        <v>59</v>
      </c>
      <c r="G78" s="12" t="s">
        <v>59</v>
      </c>
      <c r="H78" s="12" t="s">
        <v>59</v>
      </c>
      <c r="I78" s="12" t="s">
        <v>59</v>
      </c>
      <c r="J78" s="12" t="s">
        <v>59</v>
      </c>
      <c r="K78" s="24">
        <v>1.036</v>
      </c>
      <c r="L78" s="25">
        <f>SUM('Aantal zeedieren gedood'!L79:L88)</f>
        <v>0.9762460324</v>
      </c>
      <c r="M78" s="17"/>
      <c r="N78" s="17"/>
      <c r="O78" s="16"/>
      <c r="P78" s="17"/>
      <c r="Q78" s="12"/>
      <c r="R78" s="17"/>
      <c r="S78" s="17"/>
      <c r="T78" s="7"/>
      <c r="U78" s="12"/>
      <c r="V78" s="12"/>
      <c r="W78" s="12"/>
      <c r="X78" s="7"/>
      <c r="Y78" s="16"/>
      <c r="Z78" s="7"/>
      <c r="AA78" s="7"/>
      <c r="AB78" s="7"/>
      <c r="AC78" s="7"/>
      <c r="AD78" s="7"/>
      <c r="AE78" s="7"/>
      <c r="AF78" s="7"/>
      <c r="AG78" s="7"/>
      <c r="AH78" s="7"/>
      <c r="AI78" s="7"/>
      <c r="AJ78" s="7"/>
      <c r="AK78" s="7"/>
      <c r="AL78" s="7"/>
    </row>
    <row r="79" ht="12.75" customHeight="1">
      <c r="A79" s="9"/>
      <c r="B79" s="9"/>
      <c r="C79" s="9" t="s">
        <v>254</v>
      </c>
      <c r="D79" s="26" t="s">
        <v>298</v>
      </c>
      <c r="F79" s="12" t="s">
        <v>96</v>
      </c>
      <c r="G79" s="25">
        <f>((2+10)/2)</f>
        <v>6</v>
      </c>
      <c r="H79" s="25">
        <f>(('Aantal zeedieren gedood'!G79+'Aantal zeedieren gedood'!G80+'Aantal zeedieren gedood'!G81+'Aantal zeedieren gedood'!G82+'Aantal zeedieren gedood'!G83)/5)</f>
        <v>49.6</v>
      </c>
      <c r="I79" s="12">
        <v>1.61</v>
      </c>
      <c r="J79" s="25">
        <f>('Aantal zeedieren gedood'!H79/(('Aantal zeedieren gedood'!I79+'Aantal zeedieren gedood'!I80+'Aantal zeedieren gedood'!I81+'Aantal zeedieren gedood'!I82+'Aantal zeedieren gedood'!I83)/5))</f>
        <v>30.20706456</v>
      </c>
      <c r="K79" s="24">
        <v>0.39</v>
      </c>
      <c r="L79" s="25">
        <f>('Aantal zeedieren gedood'!K79/'Aantal zeedieren gedood'!J79)</f>
        <v>0.0129108871</v>
      </c>
      <c r="M79" s="17">
        <f>'Aantal zeedieren gedood'!L79</f>
        <v>0.0129108871</v>
      </c>
      <c r="N79" s="17"/>
      <c r="O79" s="16"/>
      <c r="P79" s="17"/>
      <c r="Q79" s="12"/>
      <c r="R79" s="17"/>
      <c r="S79" s="17"/>
      <c r="T79" s="7"/>
      <c r="U79" s="12"/>
      <c r="V79" s="12"/>
      <c r="W79" s="12"/>
      <c r="X79" s="7"/>
      <c r="Y79" s="16"/>
      <c r="Z79" s="7"/>
      <c r="AA79" s="7"/>
      <c r="AB79" s="7"/>
      <c r="AC79" s="7"/>
      <c r="AD79" s="7"/>
      <c r="AE79" s="7"/>
      <c r="AF79" s="7"/>
      <c r="AG79" s="7"/>
      <c r="AH79" s="7"/>
      <c r="AI79" s="7"/>
      <c r="AJ79" s="7"/>
      <c r="AK79" s="7"/>
      <c r="AL79" s="7"/>
    </row>
    <row r="80" ht="12.75" customHeight="1">
      <c r="A80" s="9"/>
      <c r="B80" s="9"/>
      <c r="C80" s="9"/>
      <c r="D80" s="26" t="s">
        <v>299</v>
      </c>
      <c r="F80" s="12" t="s">
        <v>300</v>
      </c>
      <c r="G80" s="25">
        <f>((2.5+11.5)/2)</f>
        <v>7</v>
      </c>
      <c r="H80" s="30"/>
      <c r="I80" s="12">
        <v>1.79</v>
      </c>
      <c r="J80" s="30"/>
      <c r="K80" s="24"/>
      <c r="L80" s="25"/>
      <c r="M80" s="17"/>
      <c r="N80" s="17"/>
      <c r="O80" s="16"/>
      <c r="P80" s="17"/>
      <c r="Q80" s="12"/>
      <c r="R80" s="17"/>
      <c r="S80" s="17"/>
      <c r="T80" s="7"/>
      <c r="U80" s="12"/>
      <c r="V80" s="12"/>
      <c r="W80" s="12"/>
      <c r="X80" s="7"/>
      <c r="Y80" s="16"/>
      <c r="Z80" s="7"/>
      <c r="AA80" s="7"/>
      <c r="AB80" s="7"/>
      <c r="AC80" s="7"/>
      <c r="AD80" s="7"/>
      <c r="AE80" s="7"/>
      <c r="AF80" s="7"/>
      <c r="AG80" s="7"/>
      <c r="AH80" s="7"/>
      <c r="AI80" s="7"/>
      <c r="AJ80" s="7"/>
      <c r="AK80" s="7"/>
      <c r="AL80" s="7"/>
    </row>
    <row r="81" ht="12.75" customHeight="1">
      <c r="A81" s="9"/>
      <c r="B81" s="9"/>
      <c r="C81" s="9"/>
      <c r="D81" s="26" t="s">
        <v>301</v>
      </c>
      <c r="F81" s="12">
        <v>30.0</v>
      </c>
      <c r="G81" s="25">
        <f>'Aantal zeedieren gedood'!F81</f>
        <v>30</v>
      </c>
      <c r="H81" s="30"/>
      <c r="I81" s="12">
        <v>1.61</v>
      </c>
      <c r="J81" s="30"/>
      <c r="K81" s="24"/>
      <c r="L81" s="25"/>
      <c r="M81" s="17"/>
      <c r="N81" s="17"/>
      <c r="O81" s="16"/>
      <c r="P81" s="17"/>
      <c r="Q81" s="12"/>
      <c r="R81" s="17"/>
      <c r="S81" s="17"/>
      <c r="T81" s="7"/>
      <c r="U81" s="12"/>
      <c r="V81" s="12"/>
      <c r="W81" s="12"/>
      <c r="X81" s="7"/>
      <c r="Y81" s="16"/>
      <c r="Z81" s="7"/>
      <c r="AA81" s="7"/>
      <c r="AB81" s="7"/>
      <c r="AC81" s="7"/>
      <c r="AD81" s="7"/>
      <c r="AE81" s="7"/>
      <c r="AF81" s="7"/>
      <c r="AG81" s="7"/>
      <c r="AH81" s="7"/>
      <c r="AI81" s="7"/>
      <c r="AJ81" s="7"/>
      <c r="AK81" s="7"/>
      <c r="AL81" s="7"/>
    </row>
    <row r="82" ht="12.75" customHeight="1">
      <c r="A82" s="9"/>
      <c r="B82" s="9"/>
      <c r="C82" s="9"/>
      <c r="D82" s="26" t="s">
        <v>302</v>
      </c>
      <c r="F82" s="12">
        <v>30.0</v>
      </c>
      <c r="G82" s="25">
        <f>'Aantal zeedieren gedood'!F82</f>
        <v>30</v>
      </c>
      <c r="H82" s="30"/>
      <c r="I82" s="12">
        <v>1.58</v>
      </c>
      <c r="J82" s="30"/>
      <c r="K82" s="24"/>
      <c r="L82" s="25"/>
      <c r="M82" s="17"/>
      <c r="N82" s="17"/>
      <c r="O82" s="16"/>
      <c r="P82" s="17"/>
      <c r="Q82" s="12"/>
      <c r="R82" s="17"/>
      <c r="S82" s="17"/>
      <c r="T82" s="7"/>
      <c r="U82" s="12"/>
      <c r="V82" s="12"/>
      <c r="W82" s="12"/>
      <c r="X82" s="7"/>
      <c r="Y82" s="16"/>
      <c r="Z82" s="7"/>
      <c r="AA82" s="7"/>
      <c r="AB82" s="7"/>
      <c r="AC82" s="7"/>
      <c r="AD82" s="7"/>
      <c r="AE82" s="7"/>
      <c r="AF82" s="7"/>
      <c r="AG82" s="7"/>
      <c r="AH82" s="7"/>
      <c r="AI82" s="7"/>
      <c r="AJ82" s="7"/>
      <c r="AK82" s="7"/>
      <c r="AL82" s="7"/>
    </row>
    <row r="83" ht="12.75" customHeight="1">
      <c r="A83" s="9"/>
      <c r="B83" s="9"/>
      <c r="C83" s="9"/>
      <c r="D83" s="26" t="s">
        <v>303</v>
      </c>
      <c r="F83" s="12" t="s">
        <v>304</v>
      </c>
      <c r="G83" s="25">
        <f>((50+300)/2)</f>
        <v>175</v>
      </c>
      <c r="H83" s="30"/>
      <c r="I83" s="12">
        <v>1.62</v>
      </c>
      <c r="J83" s="30"/>
      <c r="K83" s="24"/>
      <c r="L83" s="25"/>
      <c r="M83" s="17"/>
      <c r="N83" s="17"/>
      <c r="O83" s="16"/>
      <c r="P83" s="17"/>
      <c r="Q83" s="12"/>
      <c r="R83" s="17"/>
      <c r="S83" s="17"/>
      <c r="T83" s="7"/>
      <c r="U83" s="12"/>
      <c r="V83" s="12"/>
      <c r="W83" s="12"/>
      <c r="X83" s="7"/>
      <c r="Y83" s="16"/>
      <c r="Z83" s="7"/>
      <c r="AA83" s="7"/>
      <c r="AB83" s="7"/>
      <c r="AC83" s="7"/>
      <c r="AD83" s="7"/>
      <c r="AE83" s="7"/>
      <c r="AF83" s="7"/>
      <c r="AG83" s="7"/>
      <c r="AH83" s="7"/>
      <c r="AI83" s="7"/>
      <c r="AJ83" s="7"/>
      <c r="AK83" s="7"/>
      <c r="AL83" s="7"/>
    </row>
    <row r="84" ht="12.75" customHeight="1">
      <c r="A84" s="9"/>
      <c r="B84" s="9"/>
      <c r="C84" s="9" t="s">
        <v>249</v>
      </c>
      <c r="D84" s="26" t="s">
        <v>305</v>
      </c>
      <c r="F84" s="12" t="s">
        <v>306</v>
      </c>
      <c r="G84" s="25">
        <f>((0.5+1)/2)</f>
        <v>0.75</v>
      </c>
      <c r="H84" s="25">
        <f>(('Aantal zeedieren gedood'!G84+'Aantal zeedieren gedood'!G85)/2)</f>
        <v>0.475</v>
      </c>
      <c r="I84" s="12">
        <v>1.64</v>
      </c>
      <c r="J84" s="25">
        <f>('Aantal zeedieren gedood'!H84/(('Aantal zeedieren gedood'!I84+'Aantal zeedieren gedood'!I85)/2))</f>
        <v>0.2923076923</v>
      </c>
      <c r="K84" s="24">
        <v>0.259</v>
      </c>
      <c r="L84" s="25">
        <f>('Aantal zeedieren gedood'!K84/'Aantal zeedieren gedood'!J84)</f>
        <v>0.8860526316</v>
      </c>
      <c r="M84" s="17">
        <f>'Aantal zeedieren gedood'!L84</f>
        <v>0.8860526316</v>
      </c>
      <c r="N84" s="17"/>
      <c r="O84" s="16"/>
      <c r="P84" s="17"/>
      <c r="Q84" s="12"/>
      <c r="R84" s="17"/>
      <c r="S84" s="17"/>
      <c r="T84" s="7"/>
      <c r="U84" s="12"/>
      <c r="V84" s="12"/>
      <c r="W84" s="12"/>
      <c r="X84" s="7"/>
      <c r="Y84" s="16"/>
      <c r="Z84" s="7"/>
      <c r="AA84" s="7"/>
      <c r="AB84" s="7"/>
      <c r="AC84" s="7"/>
      <c r="AD84" s="7"/>
      <c r="AE84" s="7"/>
      <c r="AF84" s="7"/>
      <c r="AG84" s="7"/>
      <c r="AH84" s="7"/>
      <c r="AI84" s="7"/>
      <c r="AJ84" s="7"/>
      <c r="AK84" s="7"/>
      <c r="AL84" s="7"/>
    </row>
    <row r="85" ht="12.75" customHeight="1">
      <c r="A85" s="9"/>
      <c r="B85" s="9"/>
      <c r="C85" s="9"/>
      <c r="D85" s="26" t="s">
        <v>307</v>
      </c>
      <c r="F85" s="12">
        <v>0.2</v>
      </c>
      <c r="G85" s="25">
        <f>'Aantal zeedieren gedood'!F85</f>
        <v>0.2</v>
      </c>
      <c r="H85" s="30"/>
      <c r="I85" s="12">
        <v>1.61</v>
      </c>
      <c r="J85" s="30"/>
      <c r="K85" s="24"/>
      <c r="L85" s="25"/>
      <c r="M85" s="17"/>
      <c r="N85" s="17"/>
      <c r="O85" s="16"/>
      <c r="P85" s="17"/>
      <c r="Q85" s="12"/>
      <c r="R85" s="17"/>
      <c r="S85" s="17"/>
      <c r="T85" s="7"/>
      <c r="U85" s="12"/>
      <c r="V85" s="12"/>
      <c r="W85" s="12"/>
      <c r="X85" s="7"/>
      <c r="Y85" s="16"/>
      <c r="Z85" s="7"/>
      <c r="AA85" s="7"/>
      <c r="AB85" s="7"/>
      <c r="AC85" s="7"/>
      <c r="AD85" s="7"/>
      <c r="AE85" s="7"/>
      <c r="AF85" s="7"/>
      <c r="AG85" s="7"/>
      <c r="AH85" s="7"/>
      <c r="AI85" s="7"/>
      <c r="AJ85" s="7"/>
      <c r="AK85" s="7"/>
      <c r="AL85" s="7"/>
    </row>
    <row r="86" ht="12.75" customHeight="1">
      <c r="A86" s="9"/>
      <c r="B86" s="9"/>
      <c r="C86" s="9" t="s">
        <v>256</v>
      </c>
      <c r="D86" s="26" t="s">
        <v>95</v>
      </c>
      <c r="F86" s="12" t="s">
        <v>96</v>
      </c>
      <c r="G86" s="25">
        <f>((2+10)/2)</f>
        <v>6</v>
      </c>
      <c r="H86" s="30">
        <f>(('Aantal zeedieren gedood'!G86+'Aantal zeedieren gedood'!G87)/2)</f>
        <v>4.75</v>
      </c>
      <c r="I86" s="16">
        <v>1.61</v>
      </c>
      <c r="J86" s="25">
        <f>('Aantal zeedieren gedood'!H86/'Aantal zeedieren gedood'!I86)</f>
        <v>2.950310559</v>
      </c>
      <c r="K86" s="24">
        <v>0.196</v>
      </c>
      <c r="L86" s="25">
        <f>('Aantal zeedieren gedood'!K86/'Aantal zeedieren gedood'!J86)</f>
        <v>0.06643368421</v>
      </c>
      <c r="M86" s="17">
        <f>'Aantal zeedieren gedood'!L86</f>
        <v>0.06643368421</v>
      </c>
      <c r="N86" s="17"/>
      <c r="O86" s="16">
        <f>'Aantal zeedieren gedood'!O34</f>
        <v>0.69</v>
      </c>
      <c r="P86" s="17">
        <f>'Aantal zeedieren gedood'!O86*'Aantal zeedieren gedood'!M86</f>
        <v>0.04583924211</v>
      </c>
      <c r="Q86" s="12">
        <v>29.0</v>
      </c>
      <c r="R86" s="17">
        <f>'Aantal zeedieren gedood'!P86*'Aantal zeedieren gedood'!Q86</f>
        <v>1.329338021</v>
      </c>
      <c r="S86" s="17"/>
      <c r="T86" s="7"/>
      <c r="U86" s="12"/>
      <c r="V86" s="12"/>
      <c r="W86" s="12"/>
      <c r="X86" s="27"/>
      <c r="Y86" s="16"/>
      <c r="Z86" s="7"/>
      <c r="AA86" s="7">
        <f>'Aantal zeedieren gedood'!W86*'Aantal zeedieren gedood'!O86</f>
        <v>0</v>
      </c>
      <c r="AB86" s="7">
        <f>'Aantal zeedieren gedood'!O86*'Aantal zeedieren gedood'!L86</f>
        <v>0.04583924211</v>
      </c>
      <c r="AC86" s="7"/>
      <c r="AD86" s="7"/>
      <c r="AE86" s="7"/>
      <c r="AF86" s="7"/>
      <c r="AG86" s="7"/>
      <c r="AH86" s="7"/>
      <c r="AI86" s="7"/>
      <c r="AJ86" s="7"/>
      <c r="AK86" s="7"/>
      <c r="AL86" s="7"/>
    </row>
    <row r="87" ht="12.75" customHeight="1">
      <c r="A87" s="9"/>
      <c r="B87" s="9"/>
      <c r="C87" s="9"/>
      <c r="D87" s="26" t="s">
        <v>100</v>
      </c>
      <c r="F87" s="12" t="s">
        <v>101</v>
      </c>
      <c r="G87" s="25">
        <f>((1+6)/2)</f>
        <v>3.5</v>
      </c>
      <c r="H87" s="30"/>
      <c r="I87" s="16">
        <v>1.61</v>
      </c>
      <c r="J87" s="25"/>
      <c r="K87" s="24"/>
      <c r="L87" s="25"/>
      <c r="M87" s="17"/>
      <c r="N87" s="17"/>
      <c r="O87" s="16"/>
      <c r="P87" s="17"/>
      <c r="Q87" s="12"/>
      <c r="R87" s="17"/>
      <c r="S87" s="17"/>
      <c r="T87" s="7"/>
      <c r="U87" s="12"/>
      <c r="V87" s="12"/>
      <c r="W87" s="12"/>
      <c r="X87" s="7"/>
      <c r="Y87" s="16"/>
      <c r="Z87" s="7"/>
      <c r="AA87" s="7"/>
      <c r="AB87" s="7"/>
      <c r="AC87" s="7"/>
      <c r="AD87" s="7"/>
      <c r="AE87" s="7"/>
      <c r="AF87" s="7"/>
      <c r="AG87" s="7"/>
      <c r="AH87" s="7"/>
      <c r="AI87" s="7"/>
      <c r="AJ87" s="7"/>
      <c r="AK87" s="7"/>
      <c r="AL87" s="7"/>
    </row>
    <row r="88" ht="12.75" customHeight="1">
      <c r="A88" s="9"/>
      <c r="B88" s="9"/>
      <c r="C88" s="33" t="s">
        <v>308</v>
      </c>
      <c r="D88" s="34" t="s">
        <v>152</v>
      </c>
      <c r="F88" s="30" t="s">
        <v>152</v>
      </c>
      <c r="G88" s="25">
        <f>(SUM('Aantal zeedieren gedood'!G79:G87)/9)</f>
        <v>28.71666667</v>
      </c>
      <c r="H88" s="25">
        <f>'Aantal zeedieren gedood'!G88</f>
        <v>28.71666667</v>
      </c>
      <c r="I88" s="25">
        <f>(SUM('Aantal zeedieren gedood'!I79:I87)/9)</f>
        <v>1.631111111</v>
      </c>
      <c r="J88" s="25">
        <f>('Aantal zeedieren gedood'!H88/'Aantal zeedieren gedood'!I88)</f>
        <v>17.60558583</v>
      </c>
      <c r="K88" s="35">
        <f>('Aantal zeedieren gedood'!K78-SUM('Aantal zeedieren gedood'!K79:K87))</f>
        <v>0.191</v>
      </c>
      <c r="L88" s="25">
        <f>('Aantal zeedieren gedood'!K88/'Aantal zeedieren gedood'!J88)</f>
        <v>0.01084882956</v>
      </c>
      <c r="M88" s="17">
        <f>'Aantal zeedieren gedood'!L88</f>
        <v>0.01084882956</v>
      </c>
      <c r="N88" s="17"/>
      <c r="O88" s="16">
        <f>('Aantal zeedieren gedood'!O86*'Aantal zeedieren gedood'!L86)/'Aantal zeedieren gedood'!L78</f>
        <v>0.04695460015</v>
      </c>
      <c r="P88" s="17">
        <f>'Aantal zeedieren gedood'!O88*'Aantal zeedieren gedood'!M88</f>
        <v>0.0005094024542</v>
      </c>
      <c r="Q88" s="12">
        <f>AVERAGE('Aantal zeedieren gedood'!Q84:Q87)</f>
        <v>29</v>
      </c>
      <c r="R88" s="17">
        <f>'Aantal zeedieren gedood'!P88*'Aantal zeedieren gedood'!Q88</f>
        <v>0.01477267117</v>
      </c>
      <c r="S88" s="17"/>
      <c r="T88" s="7"/>
      <c r="U88" s="12"/>
      <c r="V88" s="12"/>
      <c r="W88" s="12"/>
      <c r="X88" s="27"/>
      <c r="Y88" s="16"/>
      <c r="Z88" s="7"/>
      <c r="AA88" s="7">
        <f>'Aantal zeedieren gedood'!W88*'Aantal zeedieren gedood'!O88</f>
        <v>0</v>
      </c>
      <c r="AB88" s="7">
        <f>'Aantal zeedieren gedood'!O88*'Aantal zeedieren gedood'!L88</f>
        <v>0.0005094024542</v>
      </c>
      <c r="AC88" s="7"/>
      <c r="AD88" s="7"/>
      <c r="AE88" s="7"/>
      <c r="AF88" s="7"/>
      <c r="AG88" s="7"/>
      <c r="AH88" s="7"/>
      <c r="AI88" s="7"/>
      <c r="AJ88" s="7"/>
      <c r="AK88" s="7"/>
      <c r="AL88" s="7"/>
    </row>
    <row r="89" ht="12.75" customHeight="1">
      <c r="A89" s="9"/>
      <c r="B89" s="9"/>
      <c r="C89" s="33"/>
      <c r="D89" s="30"/>
      <c r="E89" s="30"/>
      <c r="F89" s="30"/>
      <c r="G89" s="25"/>
      <c r="H89" s="25"/>
      <c r="I89" s="25"/>
      <c r="J89" s="25"/>
      <c r="K89" s="35"/>
      <c r="L89" s="35"/>
      <c r="M89" s="17">
        <f>SUM('Aantal zeedieren gedood'!M11:M88)</f>
        <v>9.930138611</v>
      </c>
      <c r="N89" s="17">
        <f>SUM('Aantal zeedieren gedood'!N11:N88)</f>
        <v>771.2811092</v>
      </c>
      <c r="O89" s="17"/>
      <c r="P89" s="17">
        <f>SUM('Aantal zeedieren gedood'!P11:P88)</f>
        <v>1.930091951</v>
      </c>
      <c r="Q89" s="7"/>
      <c r="R89" s="17"/>
      <c r="S89" s="17"/>
      <c r="T89" s="7"/>
      <c r="U89" s="25"/>
      <c r="V89" s="25"/>
      <c r="W89" s="12"/>
      <c r="X89" s="12"/>
      <c r="Y89" s="12"/>
      <c r="Z89" s="12"/>
      <c r="AA89" s="7">
        <f>SUM('Aantal zeedieren gedood'!AA11:AA88)</f>
        <v>0.5238375584</v>
      </c>
      <c r="AB89" s="7">
        <f>SUM('Aantal zeedieren gedood'!AB11:AB88)</f>
        <v>2.964489638</v>
      </c>
      <c r="AC89" s="7"/>
      <c r="AD89" s="7"/>
      <c r="AE89" s="7"/>
      <c r="AF89" s="7"/>
      <c r="AG89" s="7"/>
      <c r="AH89" s="7"/>
      <c r="AI89" s="7"/>
      <c r="AJ89" s="7"/>
      <c r="AK89" s="7"/>
      <c r="AL89" s="7"/>
    </row>
    <row r="90" ht="12.75" customHeight="1">
      <c r="A90" s="9"/>
      <c r="B90" s="9"/>
      <c r="C90" s="54"/>
      <c r="D90" s="55"/>
      <c r="E90" s="30"/>
      <c r="F90" s="30"/>
      <c r="G90" s="25"/>
      <c r="H90" s="25"/>
      <c r="I90" s="25"/>
      <c r="J90" s="25"/>
      <c r="K90" s="35"/>
      <c r="L90" s="35"/>
      <c r="M90" s="25"/>
      <c r="N90" s="25"/>
      <c r="O90" s="16"/>
      <c r="P90" s="16"/>
      <c r="Q90" s="12"/>
      <c r="R90" s="16"/>
      <c r="S90" s="16"/>
      <c r="T90" s="12"/>
      <c r="U90" s="12"/>
      <c r="V90" s="12"/>
      <c r="W90" s="7"/>
      <c r="X90" s="7"/>
      <c r="Y90" s="7"/>
      <c r="Z90" s="7"/>
      <c r="AA90" s="7"/>
      <c r="AB90" s="7"/>
      <c r="AC90" s="7"/>
      <c r="AD90" s="7"/>
      <c r="AE90" s="7"/>
      <c r="AF90" s="7"/>
      <c r="AG90" s="7"/>
      <c r="AH90" s="7"/>
      <c r="AI90" s="7"/>
      <c r="AJ90" s="7"/>
      <c r="AK90" s="7"/>
      <c r="AL90" s="7"/>
    </row>
    <row r="91" ht="12.75" customHeight="1">
      <c r="A91" s="9" t="s">
        <v>309</v>
      </c>
      <c r="B91" s="9"/>
      <c r="C91" s="33"/>
      <c r="D91" s="30"/>
      <c r="E91" s="30"/>
      <c r="F91" s="30"/>
      <c r="G91" s="25"/>
      <c r="H91" s="25"/>
      <c r="I91" s="25"/>
      <c r="J91" s="25"/>
      <c r="K91" s="35"/>
      <c r="L91" s="35"/>
      <c r="M91" s="25"/>
      <c r="N91" s="25"/>
      <c r="O91" s="12"/>
      <c r="P91" s="56"/>
      <c r="Q91" s="12"/>
      <c r="R91" s="16"/>
      <c r="S91" s="16"/>
      <c r="T91" s="12"/>
      <c r="U91" s="12"/>
      <c r="V91" s="12"/>
      <c r="W91" s="7"/>
      <c r="X91" s="7"/>
      <c r="Y91" s="7"/>
      <c r="Z91" s="7"/>
      <c r="AA91" s="7"/>
      <c r="AB91" s="7"/>
      <c r="AC91" s="7"/>
      <c r="AD91" s="7"/>
      <c r="AE91" s="7"/>
      <c r="AF91" s="7"/>
      <c r="AG91" s="7"/>
      <c r="AH91" s="7"/>
      <c r="AI91" s="7"/>
      <c r="AJ91" s="7"/>
      <c r="AK91" s="7"/>
      <c r="AL91" s="7"/>
    </row>
    <row r="92" ht="12.75" customHeight="1">
      <c r="A92" s="57" t="s">
        <v>310</v>
      </c>
      <c r="B92" s="11" t="s">
        <v>311</v>
      </c>
      <c r="O92" s="12"/>
      <c r="P92" s="12"/>
      <c r="Q92" s="12"/>
      <c r="R92" s="12"/>
      <c r="S92" s="12"/>
      <c r="T92" s="12"/>
      <c r="U92" s="12"/>
      <c r="V92" s="12"/>
      <c r="W92" s="7"/>
      <c r="X92" s="7"/>
      <c r="Y92" s="7"/>
      <c r="Z92" s="7"/>
      <c r="AA92" s="7"/>
      <c r="AB92" s="7"/>
      <c r="AC92" s="7"/>
      <c r="AD92" s="7"/>
      <c r="AE92" s="7"/>
      <c r="AF92" s="7"/>
      <c r="AG92" s="7"/>
      <c r="AH92" s="7"/>
      <c r="AI92" s="7"/>
      <c r="AJ92" s="7"/>
      <c r="AK92" s="7"/>
      <c r="AL92" s="7"/>
    </row>
    <row r="93" ht="12.75" customHeight="1">
      <c r="A93" s="57" t="s">
        <v>312</v>
      </c>
      <c r="B93" s="11" t="s">
        <v>313</v>
      </c>
      <c r="O93" s="12"/>
      <c r="P93" s="12"/>
      <c r="Q93" s="12"/>
      <c r="R93" s="12"/>
      <c r="S93" s="12"/>
      <c r="T93" s="12"/>
      <c r="U93" s="12"/>
      <c r="V93" s="12"/>
      <c r="W93" s="7"/>
      <c r="X93" s="7"/>
      <c r="Y93" s="7"/>
      <c r="Z93" s="7"/>
      <c r="AA93" s="7"/>
      <c r="AB93" s="7"/>
      <c r="AC93" s="7"/>
      <c r="AD93" s="7"/>
      <c r="AE93" s="7"/>
      <c r="AF93" s="7"/>
      <c r="AG93" s="7"/>
      <c r="AH93" s="7"/>
      <c r="AI93" s="7"/>
      <c r="AJ93" s="7"/>
      <c r="AK93" s="7"/>
      <c r="AL93" s="7"/>
    </row>
    <row r="94" ht="12.75" customHeight="1">
      <c r="A94" s="57" t="s">
        <v>314</v>
      </c>
      <c r="B94" s="11" t="s">
        <v>315</v>
      </c>
      <c r="O94" s="12"/>
      <c r="P94" s="12"/>
      <c r="Q94" s="12"/>
      <c r="R94" s="12"/>
      <c r="S94" s="12"/>
      <c r="T94" s="12"/>
      <c r="U94" s="12"/>
      <c r="V94" s="12"/>
      <c r="W94" s="7"/>
      <c r="X94" s="7"/>
      <c r="Y94" s="7"/>
      <c r="Z94" s="7"/>
      <c r="AA94" s="7"/>
      <c r="AB94" s="7"/>
      <c r="AC94" s="7"/>
      <c r="AD94" s="7"/>
      <c r="AE94" s="7"/>
      <c r="AF94" s="7"/>
      <c r="AG94" s="7"/>
      <c r="AH94" s="7"/>
      <c r="AI94" s="7"/>
      <c r="AJ94" s="7"/>
      <c r="AK94" s="7"/>
      <c r="AL94" s="7"/>
    </row>
    <row r="95" ht="12.75" customHeight="1">
      <c r="A95" s="57" t="s">
        <v>316</v>
      </c>
      <c r="B95" s="11" t="s">
        <v>317</v>
      </c>
      <c r="O95" s="12"/>
      <c r="P95" s="12"/>
      <c r="Q95" s="12"/>
      <c r="R95" s="12"/>
      <c r="S95" s="12"/>
      <c r="T95" s="12"/>
      <c r="U95" s="12"/>
      <c r="V95" s="12"/>
      <c r="W95" s="7"/>
      <c r="X95" s="7"/>
      <c r="Y95" s="7"/>
      <c r="Z95" s="7"/>
      <c r="AA95" s="7"/>
      <c r="AB95" s="7"/>
      <c r="AC95" s="7"/>
      <c r="AD95" s="7"/>
      <c r="AE95" s="7"/>
      <c r="AF95" s="7"/>
      <c r="AG95" s="7"/>
      <c r="AH95" s="7"/>
      <c r="AI95" s="7"/>
      <c r="AJ95" s="7"/>
      <c r="AK95" s="7"/>
      <c r="AL95" s="7"/>
    </row>
    <row r="96" ht="12.75" customHeight="1">
      <c r="A96" s="4"/>
      <c r="B96" s="4"/>
      <c r="C96" s="33"/>
      <c r="D96" s="9"/>
      <c r="E96" s="15"/>
      <c r="F96" s="12"/>
      <c r="G96" s="30"/>
      <c r="H96" s="30"/>
      <c r="I96" s="12"/>
      <c r="J96" s="25"/>
      <c r="K96" s="16"/>
      <c r="L96" s="16"/>
      <c r="M96" s="25"/>
      <c r="N96" s="12"/>
      <c r="O96" s="12"/>
      <c r="P96" s="12"/>
      <c r="Q96" s="7"/>
      <c r="R96" s="7"/>
      <c r="S96" s="7"/>
      <c r="T96" s="7"/>
      <c r="U96" s="7"/>
      <c r="V96" s="7"/>
      <c r="W96" s="7"/>
      <c r="X96" s="7"/>
      <c r="Y96" s="7"/>
      <c r="Z96" s="7"/>
      <c r="AA96" s="7"/>
      <c r="AB96" s="7"/>
      <c r="AC96" s="7"/>
      <c r="AD96" s="7"/>
      <c r="AE96" s="7"/>
      <c r="AF96" s="7"/>
      <c r="AG96" s="7"/>
      <c r="AH96" s="7"/>
      <c r="AI96" s="7"/>
      <c r="AJ96" s="7"/>
      <c r="AK96" s="7"/>
      <c r="AL96" s="7"/>
    </row>
    <row r="97" ht="36.0" customHeight="1">
      <c r="A97" s="1" t="s">
        <v>318</v>
      </c>
      <c r="B97" s="2"/>
      <c r="C97" s="2"/>
      <c r="D97" s="2"/>
      <c r="E97" s="2"/>
      <c r="F97" s="2"/>
      <c r="G97" s="2"/>
      <c r="H97" s="2"/>
      <c r="I97" s="2"/>
      <c r="J97" s="2"/>
      <c r="K97" s="3"/>
      <c r="L97" s="16"/>
      <c r="M97" s="25"/>
      <c r="N97" s="12"/>
      <c r="O97" s="12"/>
      <c r="P97" s="12"/>
      <c r="Q97" s="7"/>
      <c r="R97" s="7"/>
      <c r="S97" s="7"/>
      <c r="T97" s="7"/>
      <c r="U97" s="7"/>
      <c r="V97" s="7"/>
      <c r="W97" s="7"/>
      <c r="X97" s="7"/>
      <c r="Y97" s="7"/>
      <c r="Z97" s="7"/>
      <c r="AA97" s="7"/>
      <c r="AB97" s="7"/>
      <c r="AC97" s="7"/>
      <c r="AD97" s="7"/>
      <c r="AE97" s="7"/>
      <c r="AF97" s="7"/>
      <c r="AG97" s="7"/>
      <c r="AH97" s="7"/>
      <c r="AI97" s="7"/>
      <c r="AJ97" s="7"/>
      <c r="AK97" s="7"/>
      <c r="AL97" s="7"/>
    </row>
    <row r="98" ht="12.75" customHeight="1">
      <c r="A98" s="4"/>
      <c r="B98" s="9"/>
      <c r="C98" s="9"/>
      <c r="D98" s="9"/>
      <c r="E98" s="11"/>
      <c r="F98" s="5"/>
      <c r="G98" s="5"/>
      <c r="H98" s="5"/>
      <c r="I98" s="5"/>
      <c r="J98" s="5"/>
      <c r="K98" s="5"/>
      <c r="L98" s="16"/>
      <c r="M98" s="25"/>
      <c r="N98" s="12"/>
      <c r="O98" s="12"/>
      <c r="P98" s="12"/>
      <c r="Q98" s="7"/>
      <c r="R98" s="7"/>
      <c r="S98" s="7"/>
      <c r="T98" s="7"/>
      <c r="U98" s="7"/>
      <c r="V98" s="7"/>
      <c r="W98" s="7"/>
      <c r="X98" s="7"/>
      <c r="Y98" s="7"/>
      <c r="Z98" s="7"/>
      <c r="AA98" s="7"/>
      <c r="AB98" s="7"/>
      <c r="AC98" s="7"/>
      <c r="AD98" s="7"/>
      <c r="AE98" s="7"/>
      <c r="AF98" s="7"/>
      <c r="AG98" s="7"/>
      <c r="AH98" s="7"/>
      <c r="AI98" s="7"/>
      <c r="AJ98" s="7"/>
      <c r="AK98" s="7"/>
      <c r="AL98" s="7"/>
    </row>
    <row r="99" ht="12.75" customHeight="1">
      <c r="A99" s="9" t="s">
        <v>319</v>
      </c>
      <c r="B99" s="9"/>
      <c r="C99" s="9"/>
      <c r="D99" s="58">
        <f>'Aantal landdieren gedood'!B9</f>
        <v>0.9514540923</v>
      </c>
      <c r="E99" s="11"/>
      <c r="F99" s="5"/>
      <c r="G99" s="5"/>
      <c r="H99" s="5"/>
      <c r="I99" s="5"/>
      <c r="J99" s="5"/>
      <c r="K99" s="5"/>
      <c r="L99" s="16"/>
      <c r="M99" s="25"/>
      <c r="N99" s="12"/>
      <c r="O99" s="12"/>
      <c r="P99" s="12"/>
      <c r="Q99" s="7"/>
      <c r="R99" s="7"/>
      <c r="S99" s="7"/>
      <c r="T99" s="7"/>
      <c r="U99" s="7"/>
      <c r="V99" s="7"/>
      <c r="W99" s="7"/>
      <c r="X99" s="7"/>
      <c r="Y99" s="7"/>
      <c r="Z99" s="7"/>
      <c r="AA99" s="7"/>
      <c r="AB99" s="7"/>
      <c r="AC99" s="7"/>
      <c r="AD99" s="7"/>
      <c r="AE99" s="7"/>
      <c r="AF99" s="7"/>
      <c r="AG99" s="7"/>
      <c r="AH99" s="7"/>
      <c r="AI99" s="7"/>
      <c r="AJ99" s="7"/>
      <c r="AK99" s="7"/>
      <c r="AL99" s="7"/>
    </row>
    <row r="100" ht="12.75" customHeight="1">
      <c r="A100" s="9" t="s">
        <v>320</v>
      </c>
      <c r="B100" s="9"/>
      <c r="C100" s="9"/>
      <c r="D100" s="9">
        <f>26.5/('Aantal zeedieren gedood'!D99)</f>
        <v>27.85210576</v>
      </c>
      <c r="E100" s="11"/>
      <c r="F100" s="5"/>
      <c r="G100" s="5"/>
      <c r="H100" s="5"/>
      <c r="I100" s="5"/>
      <c r="J100" s="5"/>
      <c r="K100" s="5"/>
      <c r="L100" s="16"/>
      <c r="M100" s="25"/>
      <c r="N100" s="12"/>
      <c r="O100" s="12"/>
      <c r="P100" s="12"/>
      <c r="Q100" s="7"/>
      <c r="R100" s="7"/>
      <c r="S100" s="7"/>
      <c r="T100" s="7"/>
      <c r="U100" s="7"/>
      <c r="V100" s="7"/>
      <c r="W100" s="7"/>
      <c r="X100" s="7"/>
      <c r="Y100" s="7"/>
      <c r="Z100" s="7"/>
      <c r="AA100" s="7"/>
      <c r="AB100" s="7"/>
      <c r="AC100" s="7"/>
      <c r="AD100" s="7"/>
      <c r="AE100" s="7"/>
      <c r="AF100" s="7"/>
      <c r="AG100" s="7"/>
      <c r="AH100" s="7"/>
      <c r="AI100" s="7"/>
      <c r="AJ100" s="7"/>
      <c r="AK100" s="7"/>
      <c r="AL100" s="7"/>
    </row>
    <row r="101" ht="12.75" customHeight="1">
      <c r="A101" s="9" t="s">
        <v>321</v>
      </c>
      <c r="B101" s="9"/>
      <c r="C101" s="9"/>
      <c r="D101" s="9">
        <f>23.6/('Aantal zeedieren gedood'!D99)</f>
        <v>24.80413947</v>
      </c>
      <c r="E101" s="11"/>
      <c r="F101" s="5"/>
      <c r="G101" s="5"/>
      <c r="H101" s="5"/>
      <c r="I101" s="5"/>
      <c r="J101" s="5"/>
      <c r="K101" s="5"/>
      <c r="L101" s="16"/>
      <c r="M101" s="25"/>
      <c r="N101" s="12"/>
      <c r="O101" s="12"/>
      <c r="P101" s="12"/>
      <c r="Q101" s="7"/>
      <c r="R101" s="7"/>
      <c r="S101" s="7"/>
      <c r="T101" s="7"/>
      <c r="U101" s="7"/>
      <c r="V101" s="7"/>
      <c r="W101" s="7"/>
      <c r="X101" s="7"/>
      <c r="Y101" s="7"/>
      <c r="Z101" s="7"/>
      <c r="AA101" s="7"/>
      <c r="AB101" s="7"/>
      <c r="AC101" s="7"/>
      <c r="AD101" s="7"/>
      <c r="AE101" s="7"/>
      <c r="AF101" s="7"/>
      <c r="AG101" s="7"/>
      <c r="AH101" s="7"/>
      <c r="AI101" s="7"/>
      <c r="AJ101" s="7"/>
      <c r="AK101" s="7"/>
      <c r="AL101" s="7"/>
    </row>
    <row r="102" ht="12.75" customHeight="1">
      <c r="A102" s="9" t="s">
        <v>323</v>
      </c>
      <c r="B102" s="9"/>
      <c r="C102" s="9"/>
      <c r="D102" s="9">
        <f>'Aantal zeedieren gedood'!D100/'Aantal zeedieren gedood'!D101</f>
        <v>1.122881356</v>
      </c>
      <c r="E102" s="11"/>
      <c r="F102" s="5"/>
      <c r="G102" s="5"/>
      <c r="H102" s="5"/>
      <c r="I102" s="5"/>
      <c r="J102" s="5"/>
      <c r="K102" s="5"/>
      <c r="L102" s="16"/>
      <c r="M102" s="25"/>
      <c r="N102" s="12"/>
      <c r="O102" s="12"/>
      <c r="P102" s="12"/>
      <c r="Q102" s="7"/>
      <c r="R102" s="7"/>
      <c r="S102" s="7"/>
      <c r="T102" s="7"/>
      <c r="U102" s="7"/>
      <c r="V102" s="7"/>
      <c r="W102" s="7"/>
      <c r="X102" s="7"/>
      <c r="Y102" s="7"/>
      <c r="Z102" s="7"/>
      <c r="AA102" s="7"/>
      <c r="AB102" s="7"/>
      <c r="AC102" s="7"/>
      <c r="AD102" s="7"/>
      <c r="AE102" s="7"/>
      <c r="AF102" s="7"/>
      <c r="AG102" s="7"/>
      <c r="AH102" s="7"/>
      <c r="AI102" s="7"/>
      <c r="AJ102" s="7"/>
      <c r="AK102" s="7"/>
      <c r="AL102" s="7"/>
    </row>
    <row r="103" ht="12.75" customHeight="1">
      <c r="A103" s="9"/>
      <c r="B103" s="9"/>
      <c r="C103" s="9"/>
      <c r="D103" s="9"/>
      <c r="E103" s="11"/>
      <c r="F103" s="5"/>
      <c r="G103" s="5"/>
      <c r="H103" s="5"/>
      <c r="I103" s="5"/>
      <c r="J103" s="5"/>
      <c r="K103" s="5"/>
      <c r="L103" s="16"/>
      <c r="M103" s="25"/>
      <c r="N103" s="12"/>
      <c r="O103" s="12"/>
      <c r="P103" s="12"/>
      <c r="Q103" s="7"/>
      <c r="R103" s="7"/>
      <c r="S103" s="7"/>
      <c r="T103" s="7"/>
      <c r="U103" s="7"/>
      <c r="V103" s="7"/>
      <c r="W103" s="7"/>
      <c r="X103" s="7"/>
      <c r="Y103" s="7"/>
      <c r="Z103" s="7"/>
      <c r="AA103" s="7"/>
      <c r="AB103" s="7"/>
      <c r="AC103" s="7"/>
      <c r="AD103" s="7"/>
      <c r="AE103" s="7"/>
      <c r="AF103" s="7"/>
      <c r="AG103" s="7"/>
      <c r="AH103" s="7"/>
      <c r="AI103" s="7"/>
      <c r="AJ103" s="7"/>
      <c r="AK103" s="7"/>
      <c r="AL103" s="7"/>
    </row>
    <row r="104" ht="12.75" customHeight="1">
      <c r="A104" s="14" t="s">
        <v>325</v>
      </c>
      <c r="L104" s="16"/>
      <c r="M104" s="25"/>
      <c r="N104" s="12"/>
      <c r="O104" s="12"/>
      <c r="P104" s="12"/>
      <c r="Q104" s="7"/>
      <c r="R104" s="7"/>
      <c r="S104" s="7"/>
      <c r="T104" s="7"/>
      <c r="U104" s="7"/>
      <c r="V104" s="7"/>
      <c r="W104" s="7"/>
      <c r="X104" s="7"/>
      <c r="Y104" s="7"/>
      <c r="Z104" s="7"/>
      <c r="AA104" s="7"/>
      <c r="AB104" s="7"/>
      <c r="AC104" s="7"/>
      <c r="AD104" s="7"/>
      <c r="AE104" s="7"/>
      <c r="AF104" s="7"/>
      <c r="AG104" s="7"/>
      <c r="AH104" s="7"/>
      <c r="AI104" s="7"/>
      <c r="AJ104" s="7"/>
      <c r="AK104" s="7"/>
      <c r="AL104" s="7"/>
    </row>
    <row r="105" ht="12.75" customHeight="1">
      <c r="A105" s="4"/>
      <c r="B105" s="4"/>
      <c r="C105" s="33"/>
      <c r="D105" s="9"/>
      <c r="E105" s="15"/>
      <c r="F105" s="12"/>
      <c r="G105" s="30"/>
      <c r="H105" s="30"/>
      <c r="I105" s="12"/>
      <c r="J105" s="25"/>
      <c r="K105" s="16"/>
      <c r="L105" s="16"/>
      <c r="M105" s="25"/>
      <c r="N105" s="12"/>
      <c r="O105" s="12"/>
      <c r="P105" s="12"/>
      <c r="Q105" s="7"/>
      <c r="R105" s="7"/>
      <c r="S105" s="7"/>
      <c r="T105" s="7"/>
      <c r="U105" s="7"/>
      <c r="V105" s="7"/>
      <c r="W105" s="7"/>
      <c r="X105" s="7"/>
      <c r="Y105" s="7"/>
      <c r="Z105" s="7"/>
      <c r="AA105" s="7"/>
      <c r="AB105" s="7"/>
      <c r="AC105" s="7"/>
      <c r="AD105" s="7"/>
      <c r="AE105" s="7"/>
      <c r="AF105" s="7"/>
      <c r="AG105" s="7"/>
      <c r="AH105" s="7"/>
      <c r="AI105" s="7"/>
      <c r="AJ105" s="7"/>
      <c r="AK105" s="7"/>
      <c r="AL105" s="7"/>
    </row>
    <row r="106" ht="12.75" customHeight="1">
      <c r="A106" s="59" t="s">
        <v>326</v>
      </c>
      <c r="B106" s="60"/>
      <c r="C106" s="60"/>
      <c r="D106" s="60"/>
      <c r="E106" s="60"/>
      <c r="F106" s="60"/>
      <c r="G106" s="60"/>
      <c r="H106" s="60"/>
      <c r="I106" s="60"/>
      <c r="J106" s="60"/>
      <c r="K106" s="61"/>
      <c r="L106" s="16"/>
      <c r="M106" s="25"/>
      <c r="N106" s="12"/>
      <c r="O106" s="12"/>
      <c r="P106" s="12"/>
      <c r="Q106" s="7"/>
      <c r="R106" s="7"/>
      <c r="S106" s="7"/>
      <c r="T106" s="7"/>
      <c r="U106" s="7"/>
      <c r="V106" s="7"/>
      <c r="W106" s="7"/>
      <c r="X106" s="7"/>
      <c r="Y106" s="7"/>
      <c r="Z106" s="7"/>
      <c r="AA106" s="7"/>
      <c r="AB106" s="7"/>
      <c r="AC106" s="7"/>
      <c r="AD106" s="7"/>
      <c r="AE106" s="7"/>
      <c r="AF106" s="7"/>
      <c r="AG106" s="7"/>
      <c r="AH106" s="7"/>
      <c r="AI106" s="7"/>
      <c r="AJ106" s="7"/>
      <c r="AK106" s="7"/>
      <c r="AL106" s="7"/>
    </row>
    <row r="107" ht="12.75" customHeight="1">
      <c r="A107" s="62"/>
      <c r="K107" s="63"/>
      <c r="L107" s="16"/>
      <c r="M107" s="25"/>
      <c r="N107" s="12"/>
      <c r="O107" s="12"/>
      <c r="P107" s="12"/>
      <c r="Q107" s="7"/>
      <c r="R107" s="7"/>
      <c r="S107" s="7"/>
      <c r="T107" s="7"/>
      <c r="U107" s="7"/>
      <c r="V107" s="7"/>
      <c r="W107" s="7"/>
      <c r="X107" s="7"/>
      <c r="Y107" s="7"/>
      <c r="Z107" s="7"/>
      <c r="AA107" s="7"/>
      <c r="AB107" s="7"/>
      <c r="AC107" s="7"/>
      <c r="AD107" s="7"/>
      <c r="AE107" s="7"/>
      <c r="AF107" s="7"/>
      <c r="AG107" s="7"/>
      <c r="AH107" s="7"/>
      <c r="AI107" s="7"/>
      <c r="AJ107" s="7"/>
      <c r="AK107" s="7"/>
      <c r="AL107" s="7"/>
    </row>
    <row r="108" ht="33.0" customHeight="1">
      <c r="A108" s="64"/>
      <c r="B108" s="65"/>
      <c r="C108" s="65"/>
      <c r="D108" s="65"/>
      <c r="E108" s="65"/>
      <c r="F108" s="65"/>
      <c r="G108" s="65"/>
      <c r="H108" s="65"/>
      <c r="I108" s="65"/>
      <c r="J108" s="65"/>
      <c r="K108" s="66"/>
      <c r="L108" s="25"/>
      <c r="M108" s="25"/>
      <c r="N108" s="25"/>
      <c r="O108" s="12"/>
      <c r="P108" s="12"/>
      <c r="Q108" s="7"/>
      <c r="R108" s="7"/>
      <c r="S108" s="7"/>
      <c r="T108" s="7"/>
      <c r="U108" s="7"/>
      <c r="V108" s="7"/>
      <c r="W108" s="7"/>
      <c r="X108" s="7"/>
      <c r="Y108" s="7"/>
      <c r="Z108" s="7"/>
      <c r="AA108" s="7"/>
      <c r="AB108" s="7"/>
      <c r="AC108" s="7"/>
      <c r="AD108" s="7"/>
      <c r="AE108" s="7"/>
      <c r="AF108" s="7"/>
      <c r="AG108" s="7"/>
      <c r="AH108" s="7"/>
      <c r="AI108" s="7"/>
      <c r="AJ108" s="7"/>
      <c r="AK108" s="7"/>
      <c r="AL108" s="7"/>
    </row>
    <row r="109" ht="12.75" customHeight="1">
      <c r="A109" s="53"/>
      <c r="B109" s="53"/>
      <c r="C109" s="11" t="s">
        <v>327</v>
      </c>
      <c r="D109" s="30"/>
      <c r="E109" s="30"/>
      <c r="F109" s="12">
        <f>0.5</f>
        <v>0.5</v>
      </c>
      <c r="G109" s="25"/>
      <c r="H109" s="25"/>
      <c r="I109" s="25"/>
      <c r="J109" s="25"/>
      <c r="K109" s="25"/>
      <c r="L109" s="25"/>
      <c r="M109" s="25"/>
      <c r="N109" s="25"/>
      <c r="O109" s="12"/>
      <c r="P109" s="12"/>
      <c r="Q109" s="7"/>
      <c r="R109" s="7"/>
      <c r="S109" s="7"/>
      <c r="T109" s="7"/>
      <c r="U109" s="7"/>
      <c r="V109" s="7"/>
      <c r="W109" s="7"/>
      <c r="X109" s="7"/>
      <c r="Y109" s="7"/>
      <c r="Z109" s="7"/>
      <c r="AA109" s="7"/>
      <c r="AB109" s="7"/>
      <c r="AC109" s="7"/>
      <c r="AD109" s="7"/>
      <c r="AE109" s="7"/>
      <c r="AF109" s="7"/>
      <c r="AG109" s="7"/>
      <c r="AH109" s="7"/>
      <c r="AI109" s="7"/>
      <c r="AJ109" s="7"/>
      <c r="AK109" s="7"/>
      <c r="AL109" s="7"/>
    </row>
    <row r="110" ht="12.75" customHeight="1">
      <c r="A110" s="53"/>
      <c r="B110" s="53"/>
      <c r="C110" s="53"/>
      <c r="D110" s="30"/>
      <c r="E110" s="30"/>
      <c r="F110" s="25"/>
      <c r="G110" s="25"/>
      <c r="H110" s="25"/>
      <c r="I110" s="25"/>
      <c r="J110" s="25"/>
      <c r="K110" s="25"/>
      <c r="L110" s="25"/>
      <c r="M110" s="25"/>
      <c r="N110" s="25"/>
      <c r="O110" s="12"/>
      <c r="P110" s="12"/>
      <c r="Q110" s="7"/>
      <c r="R110" s="7"/>
      <c r="S110" s="7"/>
      <c r="T110" s="7"/>
      <c r="U110" s="7"/>
      <c r="V110" s="7"/>
      <c r="W110" s="7"/>
      <c r="X110" s="7"/>
      <c r="Y110" s="7"/>
      <c r="Z110" s="7"/>
      <c r="AA110" s="7"/>
      <c r="AB110" s="7"/>
      <c r="AC110" s="7"/>
      <c r="AD110" s="7"/>
      <c r="AE110" s="7"/>
      <c r="AF110" s="7"/>
      <c r="AG110" s="7"/>
      <c r="AH110" s="7"/>
      <c r="AI110" s="7"/>
      <c r="AJ110" s="7"/>
      <c r="AK110" s="7"/>
      <c r="AL110" s="7"/>
    </row>
    <row r="111" ht="12.75" customHeight="1">
      <c r="A111" s="11"/>
      <c r="B111" s="11"/>
      <c r="C111" s="11" t="s">
        <v>328</v>
      </c>
      <c r="D111" s="11"/>
      <c r="E111" s="17"/>
      <c r="F111" s="7" t="s">
        <v>329</v>
      </c>
      <c r="G111" s="17"/>
      <c r="H111" s="17"/>
      <c r="I111" s="17"/>
      <c r="J111" s="17"/>
      <c r="K111" s="17"/>
      <c r="L111" s="17"/>
      <c r="M111" s="17"/>
      <c r="N111" s="17"/>
      <c r="O111" s="17"/>
      <c r="P111" s="12"/>
      <c r="Q111" s="7"/>
      <c r="R111" s="7"/>
      <c r="S111" s="7"/>
      <c r="T111" s="7"/>
      <c r="U111" s="7"/>
      <c r="V111" s="7"/>
      <c r="W111" s="7"/>
      <c r="X111" s="7"/>
      <c r="Y111" s="7"/>
      <c r="Z111" s="7"/>
      <c r="AA111" s="7"/>
      <c r="AB111" s="7"/>
      <c r="AC111" s="7"/>
      <c r="AD111" s="7"/>
      <c r="AE111" s="7"/>
      <c r="AF111" s="7"/>
      <c r="AG111" s="7"/>
      <c r="AH111" s="7"/>
      <c r="AI111" s="7"/>
      <c r="AJ111" s="7"/>
      <c r="AK111" s="7"/>
      <c r="AL111" s="7"/>
    </row>
    <row r="112" ht="12.75" customHeight="1">
      <c r="A112" s="11"/>
      <c r="B112" s="11"/>
      <c r="C112" s="11" t="s">
        <v>330</v>
      </c>
      <c r="D112" s="67">
        <f>SUM('Aantal zeedieren gedood'!M15:M88)</f>
        <v>9.930138611</v>
      </c>
      <c r="E112" s="17"/>
      <c r="F112" s="17">
        <f>'Aantal zeedieren gedood'!D112/'Aantal zeedieren gedood'!$D$102</f>
        <v>8.843444197</v>
      </c>
      <c r="G112" s="17"/>
      <c r="H112" s="68"/>
      <c r="I112" s="17"/>
      <c r="J112" s="17"/>
      <c r="K112" s="17"/>
      <c r="L112" s="17"/>
      <c r="M112" s="17"/>
      <c r="N112" s="17"/>
      <c r="O112" s="17"/>
      <c r="P112" s="12"/>
      <c r="Q112" s="7"/>
      <c r="R112" s="7"/>
      <c r="S112" s="7"/>
      <c r="T112" s="7"/>
      <c r="U112" s="7"/>
      <c r="V112" s="7"/>
      <c r="W112" s="7"/>
      <c r="X112" s="7"/>
      <c r="Y112" s="7"/>
      <c r="Z112" s="7"/>
      <c r="AA112" s="7"/>
      <c r="AB112" s="7"/>
      <c r="AC112" s="7"/>
      <c r="AD112" s="7"/>
      <c r="AE112" s="7"/>
      <c r="AF112" s="7"/>
      <c r="AG112" s="7"/>
      <c r="AH112" s="7"/>
      <c r="AI112" s="7"/>
      <c r="AJ112" s="7"/>
      <c r="AK112" s="7"/>
      <c r="AL112" s="7"/>
    </row>
    <row r="113" ht="12.75" customHeight="1">
      <c r="A113" s="11"/>
      <c r="B113" s="11"/>
      <c r="C113" s="11" t="s">
        <v>331</v>
      </c>
      <c r="D113" s="67">
        <f>SUM('Aantal zeedieren gedood'!N15:N88)</f>
        <v>771.2811092</v>
      </c>
      <c r="E113" s="17"/>
      <c r="F113" s="17">
        <f>'Aantal zeedieren gedood'!F109*'Aantal zeedieren gedood'!D113/'Aantal zeedieren gedood'!$D$102</f>
        <v>343.4383807</v>
      </c>
      <c r="G113" s="17"/>
      <c r="H113" s="17"/>
      <c r="I113" s="17"/>
      <c r="J113" s="17"/>
      <c r="K113" s="17"/>
      <c r="L113" s="17"/>
      <c r="M113" s="17"/>
      <c r="N113" s="17"/>
      <c r="O113" s="17"/>
      <c r="P113" s="12"/>
      <c r="Q113" s="7"/>
      <c r="R113" s="7"/>
      <c r="S113" s="7"/>
      <c r="T113" s="7"/>
      <c r="U113" s="7"/>
      <c r="V113" s="7"/>
      <c r="W113" s="7"/>
      <c r="X113" s="7"/>
      <c r="Y113" s="7"/>
      <c r="Z113" s="7"/>
      <c r="AA113" s="7"/>
      <c r="AB113" s="7"/>
      <c r="AC113" s="7"/>
      <c r="AD113" s="7"/>
      <c r="AE113" s="7"/>
      <c r="AF113" s="7"/>
      <c r="AG113" s="7"/>
      <c r="AH113" s="7"/>
      <c r="AI113" s="7"/>
      <c r="AJ113" s="7"/>
      <c r="AK113" s="7"/>
      <c r="AL113" s="7"/>
    </row>
    <row r="114" ht="12.75" customHeight="1">
      <c r="A114" s="11"/>
      <c r="B114" s="11"/>
      <c r="C114" s="11"/>
      <c r="D114" s="67">
        <f>'Aantal zeedieren gedood'!D112+'Aantal zeedieren gedood'!D113</f>
        <v>781.2112478</v>
      </c>
      <c r="E114" s="17"/>
      <c r="F114" s="67">
        <f>'Aantal zeedieren gedood'!F112+'Aantal zeedieren gedood'!F113</f>
        <v>352.2818249</v>
      </c>
      <c r="G114" s="17"/>
      <c r="H114" s="17"/>
      <c r="I114" s="17"/>
      <c r="J114" s="17"/>
      <c r="K114" s="17"/>
      <c r="L114" s="17"/>
      <c r="M114" s="17"/>
      <c r="N114" s="17"/>
      <c r="O114" s="17"/>
      <c r="P114" s="12"/>
      <c r="Q114" s="7"/>
      <c r="R114" s="7"/>
      <c r="S114" s="7"/>
      <c r="T114" s="7"/>
      <c r="U114" s="7"/>
      <c r="V114" s="7"/>
      <c r="W114" s="7"/>
      <c r="X114" s="7"/>
      <c r="Y114" s="7"/>
      <c r="Z114" s="7"/>
      <c r="AA114" s="7"/>
      <c r="AB114" s="7"/>
      <c r="AC114" s="7"/>
      <c r="AD114" s="7"/>
      <c r="AE114" s="7"/>
      <c r="AF114" s="7"/>
      <c r="AG114" s="7"/>
      <c r="AH114" s="7"/>
      <c r="AI114" s="7"/>
      <c r="AJ114" s="7"/>
      <c r="AK114" s="7"/>
      <c r="AL114" s="7"/>
    </row>
    <row r="115" ht="12.75" customHeight="1">
      <c r="A115" s="11"/>
      <c r="B115" s="11"/>
      <c r="C115" s="11"/>
      <c r="D115" s="67"/>
      <c r="E115" s="17"/>
      <c r="F115" s="17"/>
      <c r="G115" s="17"/>
      <c r="H115" s="17"/>
      <c r="I115" s="17"/>
      <c r="J115" s="17"/>
      <c r="K115" s="17"/>
      <c r="L115" s="17"/>
      <c r="M115" s="17"/>
      <c r="N115" s="17"/>
      <c r="O115" s="17"/>
      <c r="P115" s="12"/>
      <c r="Q115" s="7"/>
      <c r="R115" s="7"/>
      <c r="S115" s="7"/>
      <c r="T115" s="7"/>
      <c r="U115" s="7"/>
      <c r="V115" s="7"/>
      <c r="W115" s="7"/>
      <c r="X115" s="7"/>
      <c r="Y115" s="7"/>
      <c r="Z115" s="7"/>
      <c r="AA115" s="7"/>
      <c r="AB115" s="7"/>
      <c r="AC115" s="7"/>
      <c r="AD115" s="7"/>
      <c r="AE115" s="7"/>
      <c r="AF115" s="7"/>
      <c r="AG115" s="7"/>
      <c r="AH115" s="7"/>
      <c r="AI115" s="7"/>
      <c r="AJ115" s="7"/>
      <c r="AK115" s="7"/>
      <c r="AL115" s="7"/>
    </row>
    <row r="116" ht="12.75" customHeight="1">
      <c r="A116" s="7"/>
      <c r="B116" s="7"/>
      <c r="C116" s="11" t="s">
        <v>332</v>
      </c>
      <c r="D116" s="67">
        <f>SUM('Aantal zeedieren gedood'!P15:P88)</f>
        <v>1.930091951</v>
      </c>
      <c r="E116" s="11"/>
      <c r="F116" s="17">
        <f>'Aantal zeedieren gedood'!D116/'Aantal zeedieren gedood'!$D$102</f>
        <v>1.718874341</v>
      </c>
      <c r="G116" s="17"/>
      <c r="H116" s="17"/>
      <c r="I116" s="17"/>
      <c r="J116" s="17"/>
      <c r="K116" s="17"/>
      <c r="L116" s="17"/>
      <c r="M116" s="17"/>
      <c r="N116" s="17"/>
      <c r="O116" s="17"/>
      <c r="P116" s="12"/>
      <c r="Q116" s="7"/>
      <c r="R116" s="7"/>
      <c r="S116" s="7"/>
      <c r="T116" s="7"/>
      <c r="U116" s="7"/>
      <c r="V116" s="7"/>
      <c r="W116" s="7"/>
      <c r="X116" s="7"/>
      <c r="Y116" s="7"/>
      <c r="Z116" s="7"/>
      <c r="AA116" s="7"/>
      <c r="AB116" s="7"/>
      <c r="AC116" s="7"/>
      <c r="AD116" s="7"/>
      <c r="AE116" s="7"/>
      <c r="AF116" s="7"/>
      <c r="AG116" s="7"/>
      <c r="AH116" s="7"/>
      <c r="AI116" s="7"/>
      <c r="AJ116" s="7"/>
      <c r="AK116" s="7"/>
      <c r="AL116" s="7"/>
    </row>
    <row r="117" ht="12.75" customHeight="1">
      <c r="A117" s="11"/>
      <c r="B117" s="11"/>
      <c r="C117" s="11" t="s">
        <v>333</v>
      </c>
      <c r="D117" s="67">
        <f>'Aantal zeedieren gedood'!D112-'Aantal zeedieren gedood'!D116</f>
        <v>8.00004666</v>
      </c>
      <c r="E117" s="7"/>
      <c r="F117" s="17">
        <f>'Aantal zeedieren gedood'!D117/'Aantal zeedieren gedood'!$D$102</f>
        <v>7.124569856</v>
      </c>
      <c r="G117" s="17"/>
      <c r="H117" s="17"/>
      <c r="I117" s="17"/>
      <c r="J117" s="17"/>
      <c r="K117" s="17"/>
      <c r="L117" s="17"/>
      <c r="M117" s="17"/>
      <c r="N117" s="17"/>
      <c r="O117" s="17"/>
      <c r="P117" s="12"/>
      <c r="Q117" s="7"/>
      <c r="R117" s="7"/>
      <c r="S117" s="7"/>
      <c r="T117" s="7"/>
      <c r="U117" s="7"/>
      <c r="V117" s="7"/>
      <c r="W117" s="7"/>
      <c r="X117" s="7"/>
      <c r="Y117" s="7"/>
      <c r="Z117" s="7"/>
      <c r="AA117" s="7"/>
      <c r="AB117" s="7"/>
      <c r="AC117" s="7"/>
      <c r="AD117" s="7"/>
      <c r="AE117" s="7"/>
      <c r="AF117" s="7"/>
      <c r="AG117" s="7"/>
      <c r="AH117" s="7"/>
      <c r="AI117" s="7"/>
      <c r="AJ117" s="7"/>
      <c r="AK117" s="7"/>
      <c r="AL117" s="7"/>
    </row>
    <row r="118" ht="12.75" customHeight="1">
      <c r="A118" s="11"/>
      <c r="B118" s="11"/>
      <c r="C118" s="11" t="s">
        <v>334</v>
      </c>
      <c r="D118" s="67">
        <f>'Aantal zeedieren gedood'!D116/'Aantal zeedieren gedood'!D112</f>
        <v>0.1943670705</v>
      </c>
      <c r="E118" s="17"/>
      <c r="F118" s="67">
        <f>'Aantal zeedieren gedood'!F116/'Aantal zeedieren gedood'!F112</f>
        <v>0.1943670705</v>
      </c>
      <c r="G118" s="17"/>
      <c r="H118" s="17"/>
      <c r="I118" s="17"/>
      <c r="J118" s="17"/>
      <c r="K118" s="17"/>
      <c r="L118" s="17"/>
      <c r="M118" s="17"/>
      <c r="N118" s="17"/>
      <c r="O118" s="17"/>
      <c r="P118" s="12"/>
      <c r="Q118" s="7"/>
      <c r="R118" s="7"/>
      <c r="S118" s="7"/>
      <c r="T118" s="7"/>
      <c r="U118" s="7"/>
      <c r="V118" s="7"/>
      <c r="W118" s="7"/>
      <c r="X118" s="7"/>
      <c r="Y118" s="7"/>
      <c r="Z118" s="7"/>
      <c r="AA118" s="7"/>
      <c r="AB118" s="7"/>
      <c r="AC118" s="7"/>
      <c r="AD118" s="7"/>
      <c r="AE118" s="7"/>
      <c r="AF118" s="7"/>
      <c r="AG118" s="7"/>
      <c r="AH118" s="7"/>
      <c r="AI118" s="7"/>
      <c r="AJ118" s="7"/>
      <c r="AK118" s="7"/>
      <c r="AL118" s="7"/>
    </row>
    <row r="119" ht="12.75" customHeight="1">
      <c r="A119" s="11"/>
      <c r="B119" s="11"/>
      <c r="C119" s="11"/>
      <c r="D119" s="67"/>
      <c r="E119" s="17"/>
      <c r="F119" s="17"/>
      <c r="G119" s="17"/>
      <c r="H119" s="17"/>
      <c r="I119" s="17"/>
      <c r="J119" s="17"/>
      <c r="K119" s="17"/>
      <c r="L119" s="17"/>
      <c r="M119" s="17"/>
      <c r="N119" s="17"/>
      <c r="O119" s="17"/>
      <c r="P119" s="12"/>
      <c r="Q119" s="7"/>
      <c r="R119" s="7"/>
      <c r="S119" s="7"/>
      <c r="T119" s="7"/>
      <c r="U119" s="7"/>
      <c r="V119" s="7"/>
      <c r="W119" s="7"/>
      <c r="X119" s="7"/>
      <c r="Y119" s="7"/>
      <c r="Z119" s="7"/>
      <c r="AA119" s="7"/>
      <c r="AB119" s="7"/>
      <c r="AC119" s="7"/>
      <c r="AD119" s="7"/>
      <c r="AE119" s="7"/>
      <c r="AF119" s="7"/>
      <c r="AG119" s="7"/>
      <c r="AH119" s="7"/>
      <c r="AI119" s="7"/>
      <c r="AJ119" s="7"/>
      <c r="AK119" s="7"/>
      <c r="AL119" s="7"/>
    </row>
    <row r="120" ht="12.75" customHeight="1">
      <c r="A120" s="11"/>
      <c r="B120" s="11"/>
      <c r="C120" s="11"/>
      <c r="D120" s="67"/>
      <c r="E120" s="17"/>
      <c r="F120" s="17"/>
      <c r="G120" s="17"/>
      <c r="H120" s="17"/>
      <c r="I120" s="17"/>
      <c r="J120" s="17"/>
      <c r="K120" s="17"/>
      <c r="L120" s="17"/>
      <c r="M120" s="17"/>
      <c r="N120" s="17"/>
      <c r="O120" s="17"/>
      <c r="P120" s="12"/>
      <c r="Q120" s="7"/>
      <c r="R120" s="7"/>
      <c r="S120" s="7"/>
      <c r="T120" s="7"/>
      <c r="U120" s="7"/>
      <c r="V120" s="7"/>
      <c r="W120" s="7"/>
      <c r="X120" s="7"/>
      <c r="Y120" s="7"/>
      <c r="Z120" s="7"/>
      <c r="AA120" s="7"/>
      <c r="AB120" s="7"/>
      <c r="AC120" s="7"/>
      <c r="AD120" s="7"/>
      <c r="AE120" s="7"/>
      <c r="AF120" s="7"/>
      <c r="AG120" s="7"/>
      <c r="AH120" s="7"/>
      <c r="AI120" s="7"/>
      <c r="AJ120" s="7"/>
      <c r="AK120" s="7"/>
      <c r="AL120" s="7"/>
    </row>
    <row r="121" ht="12.75" customHeight="1">
      <c r="A121" s="11"/>
      <c r="B121" s="11"/>
      <c r="C121" s="11" t="s">
        <v>335</v>
      </c>
      <c r="D121" s="67">
        <f>SUM('Aantal zeedieren gedood'!R15:R88)</f>
        <v>49.9062451</v>
      </c>
      <c r="E121" s="17"/>
      <c r="F121" s="17">
        <f>'Aantal zeedieren gedood'!D121/'Aantal zeedieren gedood'!$D$102</f>
        <v>44.44480696</v>
      </c>
      <c r="G121" s="17"/>
      <c r="H121" s="17"/>
      <c r="I121" s="17"/>
      <c r="J121" s="17"/>
      <c r="K121" s="17"/>
      <c r="L121" s="17"/>
      <c r="M121" s="17"/>
      <c r="N121" s="17"/>
      <c r="O121" s="17"/>
      <c r="P121" s="12"/>
      <c r="Q121" s="7"/>
      <c r="R121" s="7"/>
      <c r="S121" s="7"/>
      <c r="T121" s="7"/>
      <c r="U121" s="7"/>
      <c r="V121" s="7"/>
      <c r="W121" s="7"/>
      <c r="X121" s="7"/>
      <c r="Y121" s="7"/>
      <c r="Z121" s="7"/>
      <c r="AA121" s="7"/>
      <c r="AB121" s="7"/>
      <c r="AC121" s="7"/>
      <c r="AD121" s="7"/>
      <c r="AE121" s="7"/>
      <c r="AF121" s="7"/>
      <c r="AG121" s="7"/>
      <c r="AH121" s="7"/>
      <c r="AI121" s="7"/>
      <c r="AJ121" s="7"/>
      <c r="AK121" s="7"/>
      <c r="AL121" s="7"/>
    </row>
    <row r="122" ht="12.75" customHeight="1">
      <c r="A122" s="11"/>
      <c r="B122" s="11"/>
      <c r="C122" s="4" t="s">
        <v>336</v>
      </c>
      <c r="D122" s="67">
        <f>'Aantal zeedieren gedood'!D121/'Aantal zeedieren gedood'!D116</f>
        <v>25.85692618</v>
      </c>
      <c r="E122" s="17"/>
      <c r="F122" s="17"/>
      <c r="G122" s="17"/>
      <c r="H122" s="17"/>
      <c r="I122" s="17"/>
      <c r="J122" s="17"/>
      <c r="K122" s="17"/>
      <c r="L122" s="17"/>
      <c r="M122" s="17"/>
      <c r="N122" s="17"/>
      <c r="O122" s="17"/>
      <c r="P122" s="12"/>
      <c r="Q122" s="7"/>
      <c r="R122" s="7"/>
      <c r="S122" s="7"/>
      <c r="T122" s="7"/>
      <c r="U122" s="7"/>
      <c r="V122" s="7"/>
      <c r="W122" s="7"/>
      <c r="X122" s="7"/>
      <c r="Y122" s="7"/>
      <c r="Z122" s="7"/>
      <c r="AA122" s="7"/>
      <c r="AB122" s="7"/>
      <c r="AC122" s="7"/>
      <c r="AD122" s="7"/>
      <c r="AE122" s="7"/>
      <c r="AF122" s="7"/>
      <c r="AG122" s="7"/>
      <c r="AH122" s="7"/>
      <c r="AI122" s="7"/>
      <c r="AJ122" s="7"/>
      <c r="AK122" s="7"/>
      <c r="AL122" s="7"/>
    </row>
    <row r="123" ht="12.75" customHeight="1">
      <c r="A123" s="11"/>
      <c r="B123" s="11"/>
      <c r="C123" s="4"/>
      <c r="D123" s="67"/>
      <c r="E123" s="17"/>
      <c r="F123" s="17"/>
      <c r="G123" s="17"/>
      <c r="H123" s="17"/>
      <c r="I123" s="17"/>
      <c r="J123" s="17"/>
      <c r="K123" s="17"/>
      <c r="L123" s="17"/>
      <c r="M123" s="17"/>
      <c r="N123" s="17"/>
      <c r="O123" s="17"/>
      <c r="P123" s="12"/>
      <c r="Q123" s="7"/>
      <c r="R123" s="7"/>
      <c r="S123" s="7"/>
      <c r="T123" s="7"/>
      <c r="U123" s="7"/>
      <c r="V123" s="7"/>
      <c r="W123" s="7"/>
      <c r="X123" s="7"/>
      <c r="Y123" s="7"/>
      <c r="Z123" s="7"/>
      <c r="AA123" s="7"/>
      <c r="AB123" s="7"/>
      <c r="AC123" s="7"/>
      <c r="AD123" s="7"/>
      <c r="AE123" s="7"/>
      <c r="AF123" s="7"/>
      <c r="AG123" s="7"/>
      <c r="AH123" s="7"/>
      <c r="AI123" s="7"/>
      <c r="AJ123" s="7"/>
      <c r="AK123" s="7"/>
      <c r="AL123" s="7"/>
    </row>
    <row r="124" ht="12.75" customHeight="1">
      <c r="A124" s="11"/>
      <c r="B124" s="11"/>
      <c r="C124" s="11"/>
      <c r="D124" s="11"/>
      <c r="E124" s="17"/>
      <c r="F124" s="17"/>
      <c r="G124" s="17"/>
      <c r="H124" s="17"/>
      <c r="I124" s="17"/>
      <c r="J124" s="17"/>
      <c r="K124" s="17"/>
      <c r="L124" s="17"/>
      <c r="M124" s="17"/>
      <c r="N124" s="17"/>
      <c r="O124" s="17"/>
      <c r="P124" s="12"/>
      <c r="Q124" s="7"/>
      <c r="R124" s="7"/>
      <c r="S124" s="7"/>
      <c r="T124" s="7"/>
      <c r="U124" s="7"/>
      <c r="V124" s="7"/>
      <c r="W124" s="7"/>
      <c r="X124" s="7"/>
      <c r="Y124" s="7"/>
      <c r="Z124" s="7"/>
      <c r="AA124" s="7"/>
      <c r="AB124" s="7"/>
      <c r="AC124" s="7"/>
      <c r="AD124" s="7"/>
      <c r="AE124" s="7"/>
      <c r="AF124" s="7"/>
      <c r="AG124" s="7"/>
      <c r="AH124" s="7"/>
      <c r="AI124" s="7"/>
      <c r="AJ124" s="7"/>
      <c r="AK124" s="7"/>
      <c r="AL124" s="7"/>
    </row>
    <row r="125" ht="12.75" customHeight="1">
      <c r="A125" s="11"/>
      <c r="B125" s="11"/>
      <c r="C125" s="11"/>
      <c r="D125" s="11"/>
      <c r="E125" s="17"/>
      <c r="F125" s="17"/>
      <c r="G125" s="17"/>
      <c r="H125" s="17"/>
      <c r="I125" s="17"/>
      <c r="J125" s="17"/>
      <c r="K125" s="17"/>
      <c r="L125" s="17"/>
      <c r="M125" s="17"/>
      <c r="N125" s="17"/>
      <c r="O125" s="17"/>
      <c r="P125" s="12"/>
      <c r="Q125" s="7"/>
      <c r="R125" s="7"/>
      <c r="S125" s="7"/>
      <c r="T125" s="7"/>
      <c r="U125" s="7"/>
      <c r="V125" s="7"/>
      <c r="W125" s="7"/>
      <c r="X125" s="7"/>
      <c r="Y125" s="7"/>
      <c r="Z125" s="7"/>
      <c r="AA125" s="7"/>
      <c r="AB125" s="7"/>
      <c r="AC125" s="7"/>
      <c r="AD125" s="7"/>
      <c r="AE125" s="7"/>
      <c r="AF125" s="7"/>
      <c r="AG125" s="7"/>
      <c r="AH125" s="7"/>
      <c r="AI125" s="7"/>
      <c r="AJ125" s="7"/>
      <c r="AK125" s="7"/>
      <c r="AL125" s="7"/>
    </row>
    <row r="126" ht="25.5" customHeight="1">
      <c r="A126" s="1" t="s">
        <v>337</v>
      </c>
      <c r="B126" s="2"/>
      <c r="C126" s="2"/>
      <c r="D126" s="2"/>
      <c r="E126" s="2"/>
      <c r="F126" s="2"/>
      <c r="G126" s="2"/>
      <c r="H126" s="2"/>
      <c r="I126" s="2"/>
      <c r="J126" s="2"/>
      <c r="K126" s="3"/>
      <c r="L126" s="17"/>
      <c r="M126" s="17"/>
      <c r="N126" s="17"/>
      <c r="O126" s="17"/>
      <c r="P126" s="12"/>
      <c r="Q126" s="7"/>
      <c r="R126" s="7"/>
      <c r="S126" s="7"/>
      <c r="T126" s="7"/>
      <c r="U126" s="7"/>
      <c r="V126" s="7"/>
      <c r="W126" s="7"/>
      <c r="X126" s="7"/>
      <c r="Y126" s="7"/>
      <c r="Z126" s="7"/>
      <c r="AA126" s="7"/>
      <c r="AB126" s="7"/>
      <c r="AC126" s="7"/>
      <c r="AD126" s="7"/>
      <c r="AE126" s="7"/>
      <c r="AF126" s="7"/>
      <c r="AG126" s="7"/>
      <c r="AH126" s="7"/>
      <c r="AI126" s="7"/>
      <c r="AJ126" s="7"/>
      <c r="AK126" s="7"/>
      <c r="AL126" s="7"/>
    </row>
    <row r="127" ht="12.75" customHeight="1">
      <c r="A127" s="11"/>
      <c r="B127" s="11"/>
      <c r="C127" s="11"/>
      <c r="D127" s="11"/>
      <c r="E127" s="17" t="s">
        <v>338</v>
      </c>
      <c r="F127" s="17"/>
      <c r="G127" s="17"/>
      <c r="H127" s="17"/>
      <c r="I127" s="17"/>
      <c r="J127" s="17"/>
      <c r="K127" s="17"/>
      <c r="L127" s="17"/>
      <c r="M127" s="17"/>
      <c r="N127" s="17"/>
      <c r="O127" s="17"/>
      <c r="P127" s="12"/>
      <c r="Q127" s="7"/>
      <c r="R127" s="7"/>
      <c r="S127" s="7"/>
      <c r="T127" s="7"/>
      <c r="U127" s="7"/>
      <c r="V127" s="7"/>
      <c r="W127" s="7"/>
      <c r="X127" s="7"/>
      <c r="Y127" s="7"/>
      <c r="Z127" s="7"/>
      <c r="AA127" s="7"/>
      <c r="AB127" s="7"/>
      <c r="AC127" s="7"/>
      <c r="AD127" s="7"/>
      <c r="AE127" s="7"/>
      <c r="AF127" s="7"/>
      <c r="AG127" s="7"/>
      <c r="AH127" s="7"/>
      <c r="AI127" s="7"/>
      <c r="AJ127" s="7"/>
      <c r="AK127" s="7"/>
      <c r="AL127" s="7"/>
    </row>
    <row r="128" ht="12.75" customHeight="1">
      <c r="A128" s="11"/>
      <c r="B128" s="11"/>
      <c r="C128" s="9" t="s">
        <v>185</v>
      </c>
      <c r="D128" s="69">
        <f>'Aantal zeedieren gedood'!L55</f>
        <v>19.45470852</v>
      </c>
      <c r="E128" s="70">
        <f>'Aantal zeedieren gedood'!D128/'Aantal zeedieren gedood'!D130</f>
        <v>0.1956137503</v>
      </c>
      <c r="F128" s="17">
        <f>'Aantal zeedieren gedood'!E128*'Aantal zeedieren gedood'!F130</f>
        <v>67.18126965</v>
      </c>
      <c r="G128" s="17"/>
      <c r="H128" s="17"/>
      <c r="I128" s="17"/>
      <c r="J128" s="17"/>
      <c r="K128" s="17"/>
      <c r="L128" s="17"/>
      <c r="M128" s="17"/>
      <c r="N128" s="17"/>
      <c r="O128" s="17"/>
      <c r="P128" s="12"/>
      <c r="Q128" s="7"/>
      <c r="R128" s="7"/>
      <c r="S128" s="7"/>
      <c r="T128" s="7"/>
      <c r="U128" s="7"/>
      <c r="V128" s="7"/>
      <c r="W128" s="7"/>
      <c r="X128" s="7"/>
      <c r="Y128" s="7"/>
      <c r="Z128" s="7"/>
      <c r="AA128" s="7"/>
      <c r="AB128" s="7"/>
      <c r="AC128" s="7"/>
      <c r="AD128" s="7"/>
      <c r="AE128" s="7"/>
      <c r="AF128" s="7"/>
      <c r="AG128" s="7"/>
      <c r="AH128" s="7"/>
      <c r="AI128" s="7"/>
      <c r="AJ128" s="7"/>
      <c r="AK128" s="7"/>
      <c r="AL128" s="7"/>
    </row>
    <row r="129" ht="12.75" customHeight="1">
      <c r="A129" s="11"/>
      <c r="B129" s="11"/>
      <c r="C129" s="9" t="s">
        <v>186</v>
      </c>
      <c r="D129" s="69">
        <f>'Aantal zeedieren gedood'!L52+'Aantal zeedieren gedood'!U53*'Aantal zeedieren gedood'!L53</f>
        <v>80</v>
      </c>
      <c r="E129" s="70">
        <f>'Aantal zeedieren gedood'!D129/'Aantal zeedieren gedood'!D130</f>
        <v>0.8043862497</v>
      </c>
      <c r="F129" s="17">
        <f>'Aantal zeedieren gedood'!E129*'Aantal zeedieren gedood'!F130</f>
        <v>276.257111</v>
      </c>
      <c r="G129" s="17"/>
      <c r="H129" s="17"/>
      <c r="I129" s="17"/>
      <c r="J129" s="17"/>
      <c r="K129" s="17"/>
      <c r="L129" s="17"/>
      <c r="M129" s="17"/>
      <c r="N129" s="17"/>
      <c r="O129" s="17"/>
      <c r="P129" s="12"/>
      <c r="Q129" s="7"/>
      <c r="R129" s="7"/>
      <c r="S129" s="7"/>
      <c r="T129" s="7"/>
      <c r="U129" s="7"/>
      <c r="V129" s="7"/>
      <c r="W129" s="7"/>
      <c r="X129" s="7"/>
      <c r="Y129" s="7"/>
      <c r="Z129" s="7"/>
      <c r="AA129" s="7"/>
      <c r="AB129" s="7"/>
      <c r="AC129" s="7"/>
      <c r="AD129" s="7"/>
      <c r="AE129" s="7"/>
      <c r="AF129" s="7"/>
      <c r="AG129" s="7"/>
      <c r="AH129" s="7"/>
      <c r="AI129" s="7"/>
      <c r="AJ129" s="7"/>
      <c r="AK129" s="7"/>
      <c r="AL129" s="7"/>
    </row>
    <row r="130" ht="12.75" customHeight="1">
      <c r="A130" s="11"/>
      <c r="B130" s="11"/>
      <c r="C130" s="7" t="s">
        <v>180</v>
      </c>
      <c r="D130" s="17">
        <f>SUM('Aantal zeedieren gedood'!D128:D129)</f>
        <v>99.45470852</v>
      </c>
      <c r="E130" s="70"/>
      <c r="F130" s="17">
        <f>'Aantal zeedieren gedood'!F113</f>
        <v>343.4383807</v>
      </c>
      <c r="G130" s="17"/>
      <c r="H130" s="17"/>
      <c r="I130" s="17"/>
      <c r="J130" s="17"/>
      <c r="K130" s="17"/>
      <c r="L130" s="17"/>
      <c r="M130" s="17"/>
      <c r="N130" s="17"/>
      <c r="O130" s="17"/>
      <c r="P130" s="12"/>
      <c r="Q130" s="7"/>
      <c r="R130" s="7"/>
      <c r="S130" s="7"/>
      <c r="T130" s="7"/>
      <c r="U130" s="7"/>
      <c r="V130" s="7"/>
      <c r="W130" s="7"/>
      <c r="X130" s="7"/>
      <c r="Y130" s="7"/>
      <c r="Z130" s="7"/>
      <c r="AA130" s="7"/>
      <c r="AB130" s="7"/>
      <c r="AC130" s="7"/>
      <c r="AD130" s="7"/>
      <c r="AE130" s="7"/>
      <c r="AF130" s="7"/>
      <c r="AG130" s="7"/>
      <c r="AH130" s="7"/>
      <c r="AI130" s="7"/>
      <c r="AJ130" s="7"/>
      <c r="AK130" s="7"/>
      <c r="AL130" s="7"/>
    </row>
    <row r="131" ht="12.75" customHeight="1">
      <c r="A131" s="11"/>
      <c r="B131" s="11"/>
      <c r="C131" s="11"/>
      <c r="D131" s="11"/>
      <c r="E131" s="17"/>
      <c r="F131" s="17"/>
      <c r="G131" s="17"/>
      <c r="H131" s="17"/>
      <c r="I131" s="17"/>
      <c r="J131" s="17"/>
      <c r="K131" s="17"/>
      <c r="L131" s="17"/>
      <c r="M131" s="17"/>
      <c r="N131" s="17"/>
      <c r="O131" s="17"/>
      <c r="P131" s="12"/>
      <c r="Q131" s="7"/>
      <c r="R131" s="7"/>
      <c r="S131" s="7"/>
      <c r="T131" s="7"/>
      <c r="U131" s="7"/>
      <c r="V131" s="7"/>
      <c r="W131" s="7"/>
      <c r="X131" s="7"/>
      <c r="Y131" s="7"/>
      <c r="Z131" s="7"/>
      <c r="AA131" s="7"/>
      <c r="AB131" s="7"/>
      <c r="AC131" s="7"/>
      <c r="AD131" s="7"/>
      <c r="AE131" s="7"/>
      <c r="AF131" s="7"/>
      <c r="AG131" s="7"/>
      <c r="AH131" s="7"/>
      <c r="AI131" s="7"/>
      <c r="AJ131" s="7"/>
      <c r="AK131" s="7"/>
      <c r="AL131" s="7"/>
    </row>
    <row r="132" ht="12.75" customHeight="1">
      <c r="A132" s="71"/>
      <c r="B132" s="4"/>
      <c r="O132" s="12"/>
      <c r="P132" s="12"/>
      <c r="Q132" s="7"/>
      <c r="R132" s="7"/>
      <c r="S132" s="7"/>
      <c r="T132" s="7"/>
      <c r="U132" s="7"/>
      <c r="V132" s="7"/>
      <c r="W132" s="7"/>
      <c r="X132" s="7"/>
      <c r="Y132" s="7"/>
      <c r="Z132" s="7"/>
      <c r="AA132" s="7"/>
      <c r="AB132" s="7"/>
      <c r="AC132" s="7"/>
      <c r="AD132" s="7"/>
      <c r="AE132" s="7"/>
      <c r="AF132" s="7"/>
      <c r="AG132" s="7"/>
      <c r="AH132" s="7"/>
      <c r="AI132" s="7"/>
      <c r="AJ132" s="7"/>
      <c r="AK132" s="7"/>
      <c r="AL132" s="7"/>
    </row>
    <row r="133" ht="12.75" customHeight="1">
      <c r="A133" s="11"/>
      <c r="B133" s="11"/>
      <c r="C133" s="11"/>
      <c r="D133" s="11"/>
      <c r="E133" s="15"/>
      <c r="F133" s="12"/>
      <c r="G133" s="12"/>
      <c r="H133" s="16"/>
      <c r="I133" s="16"/>
      <c r="J133" s="16"/>
      <c r="K133" s="12"/>
      <c r="L133" s="12"/>
      <c r="M133" s="12"/>
      <c r="N133" s="12"/>
      <c r="O133" s="12"/>
      <c r="P133" s="12"/>
      <c r="Q133" s="12"/>
      <c r="R133" s="12"/>
      <c r="S133" s="12"/>
      <c r="T133" s="12"/>
      <c r="U133" s="12"/>
      <c r="V133" s="12"/>
      <c r="W133" s="7"/>
      <c r="X133" s="7"/>
      <c r="Y133" s="7"/>
      <c r="Z133" s="7"/>
      <c r="AA133" s="7"/>
      <c r="AB133" s="7"/>
      <c r="AC133" s="7"/>
      <c r="AD133" s="7"/>
      <c r="AE133" s="7"/>
      <c r="AF133" s="7"/>
      <c r="AG133" s="7"/>
      <c r="AH133" s="7"/>
      <c r="AI133" s="7"/>
      <c r="AJ133" s="7"/>
      <c r="AK133" s="7"/>
      <c r="AL133" s="7"/>
    </row>
    <row r="134" ht="25.5" customHeight="1">
      <c r="A134" s="72" t="s">
        <v>339</v>
      </c>
      <c r="B134" s="2"/>
      <c r="C134" s="2"/>
      <c r="D134" s="2"/>
      <c r="E134" s="2"/>
      <c r="F134" s="2"/>
      <c r="G134" s="2"/>
      <c r="H134" s="2"/>
      <c r="I134" s="2"/>
      <c r="J134" s="2"/>
      <c r="K134" s="3"/>
      <c r="L134" s="4"/>
      <c r="M134" s="4"/>
      <c r="N134" s="4"/>
      <c r="O134" s="12"/>
      <c r="P134" s="12"/>
      <c r="Q134" s="12"/>
      <c r="R134" s="12"/>
      <c r="S134" s="12"/>
      <c r="T134" s="12"/>
      <c r="U134" s="12"/>
      <c r="V134" s="12"/>
      <c r="W134" s="7"/>
      <c r="X134" s="7"/>
      <c r="Y134" s="7"/>
      <c r="Z134" s="7"/>
      <c r="AA134" s="7"/>
      <c r="AB134" s="7"/>
      <c r="AC134" s="7"/>
      <c r="AD134" s="7"/>
      <c r="AE134" s="7"/>
      <c r="AF134" s="7"/>
      <c r="AG134" s="7"/>
      <c r="AH134" s="7"/>
      <c r="AI134" s="7"/>
      <c r="AJ134" s="7"/>
      <c r="AK134" s="7"/>
      <c r="AL134" s="7"/>
    </row>
    <row r="135" ht="12.75" customHeight="1">
      <c r="A135" s="73" t="s">
        <v>340</v>
      </c>
      <c r="B135" s="2"/>
      <c r="C135" s="2"/>
      <c r="D135" s="2"/>
      <c r="E135" s="2"/>
      <c r="F135" s="2"/>
      <c r="G135" s="2"/>
      <c r="H135" s="2"/>
      <c r="I135" s="2"/>
      <c r="J135" s="2"/>
      <c r="K135" s="3"/>
      <c r="L135" s="12"/>
      <c r="M135" s="12"/>
      <c r="N135" s="12"/>
      <c r="O135" s="12"/>
      <c r="P135" s="12"/>
      <c r="Q135" s="12"/>
      <c r="R135" s="12"/>
      <c r="S135" s="12"/>
      <c r="T135" s="12"/>
      <c r="U135" s="12"/>
      <c r="V135" s="12"/>
      <c r="W135" s="7"/>
      <c r="X135" s="7"/>
      <c r="Y135" s="7"/>
      <c r="Z135" s="7"/>
      <c r="AA135" s="7"/>
      <c r="AB135" s="7"/>
      <c r="AC135" s="7"/>
      <c r="AD135" s="7"/>
      <c r="AE135" s="7"/>
      <c r="AF135" s="7"/>
      <c r="AG135" s="7"/>
      <c r="AH135" s="7"/>
      <c r="AI135" s="7"/>
      <c r="AJ135" s="7"/>
      <c r="AK135" s="7"/>
      <c r="AL135" s="7"/>
    </row>
    <row r="136" ht="12.75" customHeight="1">
      <c r="A136" s="74"/>
      <c r="B136" s="4"/>
      <c r="C136" s="4"/>
      <c r="D136" s="4"/>
      <c r="E136" s="4"/>
      <c r="F136" s="4"/>
      <c r="G136" s="4"/>
      <c r="H136" s="4"/>
      <c r="I136" s="4"/>
      <c r="J136" s="4"/>
      <c r="K136" s="4"/>
      <c r="L136" s="4"/>
      <c r="M136" s="4"/>
      <c r="N136" s="4"/>
      <c r="O136" s="12"/>
      <c r="P136" s="12"/>
      <c r="Q136" s="12"/>
      <c r="R136" s="12"/>
      <c r="S136" s="12"/>
      <c r="T136" s="12"/>
      <c r="U136" s="12"/>
      <c r="V136" s="12"/>
      <c r="W136" s="7"/>
      <c r="X136" s="7"/>
      <c r="Y136" s="7"/>
      <c r="Z136" s="7"/>
      <c r="AA136" s="7"/>
      <c r="AB136" s="7"/>
      <c r="AC136" s="7"/>
      <c r="AD136" s="7"/>
      <c r="AE136" s="7"/>
      <c r="AF136" s="7"/>
      <c r="AG136" s="7"/>
      <c r="AH136" s="7"/>
      <c r="AI136" s="7"/>
      <c r="AJ136" s="7"/>
      <c r="AK136" s="7"/>
      <c r="AL136" s="7"/>
    </row>
    <row r="137" ht="12.75" customHeight="1">
      <c r="A137" s="75" t="s">
        <v>341</v>
      </c>
      <c r="B137" s="2"/>
      <c r="C137" s="2"/>
      <c r="D137" s="2"/>
      <c r="E137" s="2"/>
      <c r="F137" s="2"/>
      <c r="G137" s="2"/>
      <c r="H137" s="2"/>
      <c r="I137" s="2"/>
      <c r="J137" s="2"/>
      <c r="K137" s="3"/>
      <c r="L137" s="76"/>
      <c r="M137" s="76"/>
      <c r="N137" s="76"/>
      <c r="O137" s="12"/>
      <c r="P137" s="12"/>
      <c r="Q137" s="12"/>
      <c r="R137" s="12"/>
      <c r="S137" s="12"/>
      <c r="T137" s="12"/>
      <c r="U137" s="12"/>
      <c r="V137" s="12"/>
      <c r="W137" s="7"/>
      <c r="X137" s="7"/>
      <c r="Y137" s="7"/>
      <c r="Z137" s="7"/>
      <c r="AA137" s="7"/>
      <c r="AB137" s="7"/>
      <c r="AC137" s="7"/>
      <c r="AD137" s="7"/>
      <c r="AE137" s="7"/>
      <c r="AF137" s="7"/>
      <c r="AG137" s="7"/>
      <c r="AH137" s="7"/>
      <c r="AI137" s="7"/>
      <c r="AJ137" s="7"/>
      <c r="AK137" s="7"/>
      <c r="AL137" s="7"/>
    </row>
    <row r="138" ht="12.75" customHeight="1">
      <c r="A138" s="77"/>
      <c r="B138" s="78" t="s">
        <v>342</v>
      </c>
      <c r="C138" s="2"/>
      <c r="D138" s="2"/>
      <c r="E138" s="2"/>
      <c r="F138" s="2"/>
      <c r="G138" s="2"/>
      <c r="H138" s="2"/>
      <c r="I138" s="2"/>
      <c r="J138" s="2"/>
      <c r="K138" s="2"/>
      <c r="L138" s="2"/>
      <c r="M138" s="2"/>
      <c r="N138" s="3"/>
      <c r="O138" s="12"/>
      <c r="P138" s="12"/>
      <c r="Q138" s="12"/>
      <c r="R138" s="12"/>
      <c r="S138" s="12"/>
      <c r="T138" s="12"/>
      <c r="U138" s="12"/>
      <c r="V138" s="12"/>
      <c r="W138" s="7"/>
      <c r="X138" s="7"/>
      <c r="Y138" s="7"/>
      <c r="Z138" s="7"/>
      <c r="AA138" s="7"/>
      <c r="AB138" s="7"/>
      <c r="AC138" s="7"/>
      <c r="AD138" s="7"/>
      <c r="AE138" s="7"/>
      <c r="AF138" s="7"/>
      <c r="AG138" s="7"/>
      <c r="AH138" s="7"/>
      <c r="AI138" s="7"/>
      <c r="AJ138" s="7"/>
      <c r="AK138" s="7"/>
      <c r="AL138" s="7"/>
    </row>
    <row r="139" ht="12.75" customHeight="1">
      <c r="A139" s="77"/>
      <c r="B139" s="78" t="s">
        <v>343</v>
      </c>
      <c r="C139" s="2"/>
      <c r="D139" s="2"/>
      <c r="E139" s="2"/>
      <c r="F139" s="2"/>
      <c r="G139" s="2"/>
      <c r="H139" s="2"/>
      <c r="I139" s="2"/>
      <c r="J139" s="2"/>
      <c r="K139" s="2"/>
      <c r="L139" s="2"/>
      <c r="M139" s="2"/>
      <c r="N139" s="3"/>
      <c r="O139" s="12"/>
      <c r="P139" s="12"/>
      <c r="Q139" s="12"/>
      <c r="R139" s="12"/>
      <c r="S139" s="12"/>
      <c r="T139" s="12"/>
      <c r="U139" s="12"/>
      <c r="V139" s="12"/>
      <c r="W139" s="7"/>
      <c r="X139" s="7"/>
      <c r="Y139" s="7"/>
      <c r="Z139" s="7"/>
      <c r="AA139" s="7"/>
      <c r="AB139" s="7"/>
      <c r="AC139" s="7"/>
      <c r="AD139" s="7"/>
      <c r="AE139" s="7"/>
      <c r="AF139" s="7"/>
      <c r="AG139" s="7"/>
      <c r="AH139" s="7"/>
      <c r="AI139" s="7"/>
      <c r="AJ139" s="7"/>
      <c r="AK139" s="7"/>
      <c r="AL139" s="7"/>
    </row>
    <row r="140" ht="12.75" customHeight="1">
      <c r="A140" s="77"/>
      <c r="B140" s="78" t="s">
        <v>344</v>
      </c>
      <c r="C140" s="2"/>
      <c r="D140" s="2"/>
      <c r="E140" s="2"/>
      <c r="F140" s="2"/>
      <c r="G140" s="2"/>
      <c r="H140" s="2"/>
      <c r="I140" s="2"/>
      <c r="J140" s="2"/>
      <c r="K140" s="2"/>
      <c r="L140" s="2"/>
      <c r="M140" s="2"/>
      <c r="N140" s="3"/>
      <c r="O140" s="12"/>
      <c r="P140" s="12"/>
      <c r="Q140" s="12"/>
      <c r="R140" s="12"/>
      <c r="S140" s="12"/>
      <c r="T140" s="12"/>
      <c r="U140" s="12"/>
      <c r="V140" s="12"/>
      <c r="W140" s="7"/>
      <c r="X140" s="7"/>
      <c r="Y140" s="7"/>
      <c r="Z140" s="7"/>
      <c r="AA140" s="7"/>
      <c r="AB140" s="7"/>
      <c r="AC140" s="7"/>
      <c r="AD140" s="7"/>
      <c r="AE140" s="7"/>
      <c r="AF140" s="7"/>
      <c r="AG140" s="7"/>
      <c r="AH140" s="7"/>
      <c r="AI140" s="7"/>
      <c r="AJ140" s="7"/>
      <c r="AK140" s="7"/>
      <c r="AL140" s="7"/>
    </row>
    <row r="141" ht="12.75" customHeight="1">
      <c r="A141" s="77"/>
      <c r="B141" s="78" t="s">
        <v>345</v>
      </c>
      <c r="C141" s="2"/>
      <c r="D141" s="2"/>
      <c r="E141" s="2"/>
      <c r="F141" s="2"/>
      <c r="G141" s="2"/>
      <c r="H141" s="2"/>
      <c r="I141" s="2"/>
      <c r="J141" s="2"/>
      <c r="K141" s="2"/>
      <c r="L141" s="2"/>
      <c r="M141" s="2"/>
      <c r="N141" s="3"/>
      <c r="O141" s="12"/>
      <c r="P141" s="12"/>
      <c r="Q141" s="12"/>
      <c r="R141" s="12"/>
      <c r="S141" s="12"/>
      <c r="T141" s="12"/>
      <c r="U141" s="12"/>
      <c r="V141" s="12"/>
      <c r="W141" s="7"/>
      <c r="X141" s="7"/>
      <c r="Y141" s="7"/>
      <c r="Z141" s="7"/>
      <c r="AA141" s="7"/>
      <c r="AB141" s="7"/>
      <c r="AC141" s="7"/>
      <c r="AD141" s="7"/>
      <c r="AE141" s="7"/>
      <c r="AF141" s="7"/>
      <c r="AG141" s="7"/>
      <c r="AH141" s="7"/>
      <c r="AI141" s="7"/>
      <c r="AJ141" s="7"/>
      <c r="AK141" s="7"/>
      <c r="AL141" s="7"/>
    </row>
    <row r="142" ht="12.75" customHeight="1">
      <c r="A142" s="77"/>
      <c r="B142" s="78" t="s">
        <v>346</v>
      </c>
      <c r="C142" s="2"/>
      <c r="D142" s="2"/>
      <c r="E142" s="2"/>
      <c r="F142" s="2"/>
      <c r="G142" s="2"/>
      <c r="H142" s="2"/>
      <c r="I142" s="2"/>
      <c r="J142" s="2"/>
      <c r="K142" s="2"/>
      <c r="L142" s="2"/>
      <c r="M142" s="2"/>
      <c r="N142" s="3"/>
      <c r="O142" s="12"/>
      <c r="P142" s="12"/>
      <c r="Q142" s="12"/>
      <c r="R142" s="12"/>
      <c r="S142" s="12"/>
      <c r="T142" s="12"/>
      <c r="U142" s="12"/>
      <c r="V142" s="12"/>
      <c r="W142" s="7"/>
      <c r="X142" s="7"/>
      <c r="Y142" s="7"/>
      <c r="Z142" s="7"/>
      <c r="AA142" s="7"/>
      <c r="AB142" s="7"/>
      <c r="AC142" s="7"/>
      <c r="AD142" s="7"/>
      <c r="AE142" s="7"/>
      <c r="AF142" s="7"/>
      <c r="AG142" s="7"/>
      <c r="AH142" s="7"/>
      <c r="AI142" s="7"/>
      <c r="AJ142" s="7"/>
      <c r="AK142" s="7"/>
      <c r="AL142" s="7"/>
    </row>
    <row r="143" ht="12.75" customHeight="1">
      <c r="A143" s="79"/>
      <c r="B143" s="78" t="s">
        <v>347</v>
      </c>
      <c r="C143" s="2"/>
      <c r="D143" s="2"/>
      <c r="E143" s="2"/>
      <c r="F143" s="2"/>
      <c r="G143" s="2"/>
      <c r="H143" s="2"/>
      <c r="I143" s="2"/>
      <c r="J143" s="2"/>
      <c r="K143" s="2"/>
      <c r="L143" s="2"/>
      <c r="M143" s="2"/>
      <c r="N143" s="3"/>
      <c r="O143" s="12"/>
      <c r="P143" s="12"/>
      <c r="Q143" s="12"/>
      <c r="R143" s="12"/>
      <c r="S143" s="12"/>
      <c r="T143" s="12"/>
      <c r="U143" s="12"/>
      <c r="V143" s="12"/>
      <c r="W143" s="7"/>
      <c r="X143" s="7"/>
      <c r="Y143" s="7"/>
      <c r="Z143" s="7"/>
      <c r="AA143" s="7"/>
      <c r="AB143" s="7"/>
      <c r="AC143" s="7"/>
      <c r="AD143" s="7"/>
      <c r="AE143" s="7"/>
      <c r="AF143" s="7"/>
      <c r="AG143" s="7"/>
      <c r="AH143" s="7"/>
      <c r="AI143" s="7"/>
      <c r="AJ143" s="7"/>
      <c r="AK143" s="7"/>
      <c r="AL143" s="7"/>
    </row>
    <row r="144" ht="12.75" customHeight="1">
      <c r="A144" s="79"/>
      <c r="B144" s="78" t="s">
        <v>348</v>
      </c>
      <c r="C144" s="2"/>
      <c r="D144" s="2"/>
      <c r="E144" s="2"/>
      <c r="F144" s="2"/>
      <c r="G144" s="2"/>
      <c r="H144" s="2"/>
      <c r="I144" s="2"/>
      <c r="J144" s="2"/>
      <c r="K144" s="2"/>
      <c r="L144" s="2"/>
      <c r="M144" s="2"/>
      <c r="N144" s="3"/>
      <c r="O144" s="12"/>
      <c r="P144" s="12"/>
      <c r="Q144" s="12"/>
      <c r="R144" s="12"/>
      <c r="S144" s="12"/>
      <c r="T144" s="12"/>
      <c r="U144" s="12"/>
      <c r="V144" s="12"/>
      <c r="W144" s="7"/>
      <c r="X144" s="7"/>
      <c r="Y144" s="7"/>
      <c r="Z144" s="7"/>
      <c r="AA144" s="7"/>
      <c r="AB144" s="7"/>
      <c r="AC144" s="7"/>
      <c r="AD144" s="7"/>
      <c r="AE144" s="7"/>
      <c r="AF144" s="7"/>
      <c r="AG144" s="7"/>
      <c r="AH144" s="7"/>
      <c r="AI144" s="7"/>
      <c r="AJ144" s="7"/>
      <c r="AK144" s="7"/>
      <c r="AL144" s="7"/>
    </row>
    <row r="145" ht="12.75" customHeight="1">
      <c r="A145" s="79"/>
      <c r="B145" s="78" t="s">
        <v>349</v>
      </c>
      <c r="C145" s="2"/>
      <c r="D145" s="2"/>
      <c r="E145" s="2"/>
      <c r="F145" s="2"/>
      <c r="G145" s="2"/>
      <c r="H145" s="2"/>
      <c r="I145" s="2"/>
      <c r="J145" s="2"/>
      <c r="K145" s="2"/>
      <c r="L145" s="2"/>
      <c r="M145" s="2"/>
      <c r="N145" s="3"/>
      <c r="O145" s="12"/>
      <c r="P145" s="12"/>
      <c r="Q145" s="12"/>
      <c r="R145" s="12"/>
      <c r="S145" s="12"/>
      <c r="T145" s="12"/>
      <c r="U145" s="12"/>
      <c r="V145" s="12"/>
      <c r="W145" s="7"/>
      <c r="X145" s="7"/>
      <c r="Y145" s="7"/>
      <c r="Z145" s="7"/>
      <c r="AA145" s="7"/>
      <c r="AB145" s="7"/>
      <c r="AC145" s="7"/>
      <c r="AD145" s="7"/>
      <c r="AE145" s="7"/>
      <c r="AF145" s="7"/>
      <c r="AG145" s="7"/>
      <c r="AH145" s="7"/>
      <c r="AI145" s="7"/>
      <c r="AJ145" s="7"/>
      <c r="AK145" s="7"/>
      <c r="AL145" s="7"/>
    </row>
    <row r="146" ht="25.5" customHeight="1">
      <c r="A146" s="79"/>
      <c r="B146" s="72" t="s">
        <v>350</v>
      </c>
      <c r="C146" s="2"/>
      <c r="D146" s="2"/>
      <c r="E146" s="2"/>
      <c r="F146" s="2"/>
      <c r="G146" s="2"/>
      <c r="H146" s="2"/>
      <c r="I146" s="2"/>
      <c r="J146" s="2"/>
      <c r="K146" s="2"/>
      <c r="L146" s="2"/>
      <c r="M146" s="2"/>
      <c r="N146" s="3"/>
      <c r="O146" s="12"/>
      <c r="P146" s="12"/>
      <c r="Q146" s="12"/>
      <c r="R146" s="12"/>
      <c r="S146" s="12"/>
      <c r="T146" s="12"/>
      <c r="U146" s="12"/>
      <c r="V146" s="12"/>
      <c r="W146" s="7"/>
      <c r="X146" s="7"/>
      <c r="Y146" s="7"/>
      <c r="Z146" s="7"/>
      <c r="AA146" s="7"/>
      <c r="AB146" s="7"/>
      <c r="AC146" s="7"/>
      <c r="AD146" s="7"/>
      <c r="AE146" s="7"/>
      <c r="AF146" s="7"/>
      <c r="AG146" s="7"/>
      <c r="AH146" s="7"/>
      <c r="AI146" s="7"/>
      <c r="AJ146" s="7"/>
      <c r="AK146" s="7"/>
      <c r="AL146" s="7"/>
    </row>
    <row r="147" ht="25.5" customHeight="1">
      <c r="A147" s="79"/>
      <c r="B147" s="72" t="s">
        <v>351</v>
      </c>
      <c r="C147" s="2"/>
      <c r="D147" s="2"/>
      <c r="E147" s="2"/>
      <c r="F147" s="2"/>
      <c r="G147" s="2"/>
      <c r="H147" s="2"/>
      <c r="I147" s="2"/>
      <c r="J147" s="2"/>
      <c r="K147" s="2"/>
      <c r="L147" s="2"/>
      <c r="M147" s="2"/>
      <c r="N147" s="3"/>
      <c r="O147" s="12"/>
      <c r="P147" s="12"/>
      <c r="Q147" s="12"/>
      <c r="R147" s="12"/>
      <c r="S147" s="12"/>
      <c r="T147" s="12"/>
      <c r="U147" s="12"/>
      <c r="V147" s="12"/>
      <c r="W147" s="7"/>
      <c r="X147" s="7"/>
      <c r="Y147" s="7"/>
      <c r="Z147" s="7"/>
      <c r="AA147" s="7"/>
      <c r="AB147" s="7"/>
      <c r="AC147" s="7"/>
      <c r="AD147" s="7"/>
      <c r="AE147" s="7"/>
      <c r="AF147" s="7"/>
      <c r="AG147" s="7"/>
      <c r="AH147" s="7"/>
      <c r="AI147" s="7"/>
      <c r="AJ147" s="7"/>
      <c r="AK147" s="7"/>
      <c r="AL147" s="7"/>
    </row>
    <row r="148" ht="12.75" customHeight="1">
      <c r="A148" s="79"/>
      <c r="B148" s="78" t="s">
        <v>352</v>
      </c>
      <c r="C148" s="2"/>
      <c r="D148" s="2"/>
      <c r="E148" s="2"/>
      <c r="F148" s="2"/>
      <c r="G148" s="2"/>
      <c r="H148" s="2"/>
      <c r="I148" s="2"/>
      <c r="J148" s="2"/>
      <c r="K148" s="2"/>
      <c r="L148" s="2"/>
      <c r="M148" s="2"/>
      <c r="N148" s="3"/>
      <c r="O148" s="12"/>
      <c r="P148" s="12"/>
      <c r="Q148" s="12"/>
      <c r="R148" s="12"/>
      <c r="S148" s="12"/>
      <c r="T148" s="12"/>
      <c r="U148" s="12"/>
      <c r="V148" s="12"/>
      <c r="W148" s="7"/>
      <c r="X148" s="7"/>
      <c r="Y148" s="7"/>
      <c r="Z148" s="7"/>
      <c r="AA148" s="7"/>
      <c r="AB148" s="7"/>
      <c r="AC148" s="7"/>
      <c r="AD148" s="7"/>
      <c r="AE148" s="7"/>
      <c r="AF148" s="7"/>
      <c r="AG148" s="7"/>
      <c r="AH148" s="7"/>
      <c r="AI148" s="7"/>
      <c r="AJ148" s="7"/>
      <c r="AK148" s="7"/>
      <c r="AL148" s="7"/>
    </row>
    <row r="149" ht="12.75" customHeight="1">
      <c r="A149" s="77"/>
      <c r="B149" s="78" t="s">
        <v>353</v>
      </c>
      <c r="C149" s="2"/>
      <c r="D149" s="2"/>
      <c r="E149" s="2"/>
      <c r="F149" s="2"/>
      <c r="G149" s="2"/>
      <c r="H149" s="2"/>
      <c r="I149" s="2"/>
      <c r="J149" s="2"/>
      <c r="K149" s="2"/>
      <c r="L149" s="2"/>
      <c r="M149" s="2"/>
      <c r="N149" s="3"/>
      <c r="O149" s="12"/>
      <c r="P149" s="12"/>
      <c r="Q149" s="12"/>
      <c r="R149" s="12"/>
      <c r="S149" s="12"/>
      <c r="T149" s="12"/>
      <c r="U149" s="12"/>
      <c r="V149" s="12"/>
      <c r="W149" s="7"/>
      <c r="X149" s="7"/>
      <c r="Y149" s="7"/>
      <c r="Z149" s="7"/>
      <c r="AA149" s="7"/>
      <c r="AB149" s="7"/>
      <c r="AC149" s="7"/>
      <c r="AD149" s="7"/>
      <c r="AE149" s="7"/>
      <c r="AF149" s="7"/>
      <c r="AG149" s="7"/>
      <c r="AH149" s="7"/>
      <c r="AI149" s="7"/>
      <c r="AJ149" s="7"/>
      <c r="AK149" s="7"/>
      <c r="AL149" s="7"/>
    </row>
    <row r="150" ht="12.75" customHeight="1">
      <c r="A150" s="77"/>
      <c r="B150" s="78" t="s">
        <v>354</v>
      </c>
      <c r="C150" s="2"/>
      <c r="D150" s="2"/>
      <c r="E150" s="2"/>
      <c r="F150" s="2"/>
      <c r="G150" s="2"/>
      <c r="H150" s="2"/>
      <c r="I150" s="2"/>
      <c r="J150" s="2"/>
      <c r="K150" s="2"/>
      <c r="L150" s="2"/>
      <c r="M150" s="2"/>
      <c r="N150" s="3"/>
      <c r="O150" s="12"/>
      <c r="P150" s="12"/>
      <c r="Q150" s="12"/>
      <c r="R150" s="12"/>
      <c r="S150" s="12"/>
      <c r="T150" s="12"/>
      <c r="U150" s="12"/>
      <c r="V150" s="12"/>
      <c r="W150" s="7"/>
      <c r="X150" s="7"/>
      <c r="Y150" s="7"/>
      <c r="Z150" s="7"/>
      <c r="AA150" s="7"/>
      <c r="AB150" s="7"/>
      <c r="AC150" s="7"/>
      <c r="AD150" s="7"/>
      <c r="AE150" s="7"/>
      <c r="AF150" s="7"/>
      <c r="AG150" s="7"/>
      <c r="AH150" s="7"/>
      <c r="AI150" s="7"/>
      <c r="AJ150" s="7"/>
      <c r="AK150" s="7"/>
      <c r="AL150" s="7"/>
    </row>
    <row r="151" ht="12.75" customHeight="1">
      <c r="A151" s="77"/>
      <c r="B151" s="78" t="s">
        <v>355</v>
      </c>
      <c r="C151" s="2"/>
      <c r="D151" s="2"/>
      <c r="E151" s="2"/>
      <c r="F151" s="2"/>
      <c r="G151" s="2"/>
      <c r="H151" s="2"/>
      <c r="I151" s="2"/>
      <c r="J151" s="2"/>
      <c r="K151" s="2"/>
      <c r="L151" s="2"/>
      <c r="M151" s="2"/>
      <c r="N151" s="3"/>
      <c r="O151" s="12"/>
      <c r="P151" s="12"/>
      <c r="Q151" s="12"/>
      <c r="R151" s="12"/>
      <c r="S151" s="12"/>
      <c r="T151" s="12"/>
      <c r="U151" s="12"/>
      <c r="V151" s="12"/>
      <c r="W151" s="7"/>
      <c r="X151" s="7"/>
      <c r="Y151" s="7"/>
      <c r="Z151" s="7"/>
      <c r="AA151" s="7"/>
      <c r="AB151" s="7"/>
      <c r="AC151" s="7"/>
      <c r="AD151" s="7"/>
      <c r="AE151" s="7"/>
      <c r="AF151" s="7"/>
      <c r="AG151" s="7"/>
      <c r="AH151" s="7"/>
      <c r="AI151" s="7"/>
      <c r="AJ151" s="7"/>
      <c r="AK151" s="7"/>
      <c r="AL151" s="7"/>
    </row>
    <row r="152" ht="12.75" customHeight="1">
      <c r="A152" s="77"/>
      <c r="B152" s="78" t="s">
        <v>356</v>
      </c>
      <c r="C152" s="2"/>
      <c r="D152" s="2"/>
      <c r="E152" s="2"/>
      <c r="F152" s="2"/>
      <c r="G152" s="2"/>
      <c r="H152" s="2"/>
      <c r="I152" s="2"/>
      <c r="J152" s="2"/>
      <c r="K152" s="2"/>
      <c r="L152" s="2"/>
      <c r="M152" s="2"/>
      <c r="N152" s="3"/>
      <c r="O152" s="12"/>
      <c r="P152" s="12"/>
      <c r="Q152" s="12"/>
      <c r="R152" s="12"/>
      <c r="S152" s="12"/>
      <c r="T152" s="12"/>
      <c r="U152" s="12"/>
      <c r="V152" s="12"/>
      <c r="W152" s="7"/>
      <c r="X152" s="7"/>
      <c r="Y152" s="7"/>
      <c r="Z152" s="7"/>
      <c r="AA152" s="7"/>
      <c r="AB152" s="7"/>
      <c r="AC152" s="7"/>
      <c r="AD152" s="7"/>
      <c r="AE152" s="7"/>
      <c r="AF152" s="7"/>
      <c r="AG152" s="7"/>
      <c r="AH152" s="7"/>
      <c r="AI152" s="7"/>
      <c r="AJ152" s="7"/>
      <c r="AK152" s="7"/>
      <c r="AL152" s="7"/>
    </row>
    <row r="153" ht="12.75" customHeight="1">
      <c r="A153" s="77"/>
      <c r="B153" s="78" t="s">
        <v>357</v>
      </c>
      <c r="C153" s="2"/>
      <c r="D153" s="2"/>
      <c r="E153" s="2"/>
      <c r="F153" s="2"/>
      <c r="G153" s="2"/>
      <c r="H153" s="2"/>
      <c r="I153" s="2"/>
      <c r="J153" s="2"/>
      <c r="K153" s="2"/>
      <c r="L153" s="2"/>
      <c r="M153" s="2"/>
      <c r="N153" s="3"/>
      <c r="O153" s="12"/>
      <c r="P153" s="12"/>
      <c r="Q153" s="12"/>
      <c r="R153" s="12"/>
      <c r="S153" s="12"/>
      <c r="T153" s="12"/>
      <c r="U153" s="12"/>
      <c r="V153" s="12"/>
      <c r="W153" s="7"/>
      <c r="X153" s="7"/>
      <c r="Y153" s="7"/>
      <c r="Z153" s="7"/>
      <c r="AA153" s="7"/>
      <c r="AB153" s="7"/>
      <c r="AC153" s="7"/>
      <c r="AD153" s="7"/>
      <c r="AE153" s="7"/>
      <c r="AF153" s="7"/>
      <c r="AG153" s="7"/>
      <c r="AH153" s="7"/>
      <c r="AI153" s="7"/>
      <c r="AJ153" s="7"/>
      <c r="AK153" s="7"/>
      <c r="AL153" s="7"/>
    </row>
    <row r="154" ht="12.75" customHeight="1">
      <c r="A154" s="80"/>
      <c r="B154" s="81" t="s">
        <v>358</v>
      </c>
      <c r="C154" s="2"/>
      <c r="D154" s="2"/>
      <c r="E154" s="2"/>
      <c r="F154" s="2"/>
      <c r="G154" s="2"/>
      <c r="H154" s="2"/>
      <c r="I154" s="2"/>
      <c r="J154" s="2"/>
      <c r="K154" s="2"/>
      <c r="L154" s="2"/>
      <c r="M154" s="2"/>
      <c r="N154" s="3"/>
      <c r="O154" s="12"/>
      <c r="P154" s="12"/>
      <c r="Q154" s="12"/>
      <c r="R154" s="12"/>
      <c r="S154" s="12"/>
      <c r="T154" s="12"/>
      <c r="U154" s="12"/>
      <c r="V154" s="12"/>
      <c r="W154" s="7"/>
      <c r="X154" s="7"/>
      <c r="Y154" s="7"/>
      <c r="Z154" s="7"/>
      <c r="AA154" s="7"/>
      <c r="AB154" s="7"/>
      <c r="AC154" s="7"/>
      <c r="AD154" s="7"/>
      <c r="AE154" s="7"/>
      <c r="AF154" s="7"/>
      <c r="AG154" s="7"/>
      <c r="AH154" s="7"/>
      <c r="AI154" s="7"/>
      <c r="AJ154" s="7"/>
      <c r="AK154" s="7"/>
      <c r="AL154" s="7"/>
    </row>
    <row r="155" ht="12.75" customHeight="1">
      <c r="A155" s="82" t="s">
        <v>359</v>
      </c>
      <c r="B155" s="75" t="s">
        <v>360</v>
      </c>
      <c r="C155" s="2"/>
      <c r="D155" s="2"/>
      <c r="E155" s="2"/>
      <c r="F155" s="2"/>
      <c r="G155" s="2"/>
      <c r="H155" s="2"/>
      <c r="I155" s="2"/>
      <c r="J155" s="2"/>
      <c r="K155" s="2"/>
      <c r="L155" s="2"/>
      <c r="M155" s="2"/>
      <c r="N155" s="3"/>
      <c r="O155" s="12"/>
      <c r="P155" s="12"/>
      <c r="Q155" s="12"/>
      <c r="R155" s="12"/>
      <c r="S155" s="12"/>
      <c r="T155" s="12"/>
      <c r="U155" s="12"/>
      <c r="V155" s="12"/>
      <c r="W155" s="7"/>
      <c r="X155" s="7"/>
      <c r="Y155" s="7"/>
      <c r="Z155" s="7"/>
      <c r="AA155" s="7"/>
      <c r="AB155" s="7"/>
      <c r="AC155" s="7"/>
      <c r="AD155" s="7"/>
      <c r="AE155" s="7"/>
      <c r="AF155" s="7"/>
      <c r="AG155" s="7"/>
      <c r="AH155" s="7"/>
      <c r="AI155" s="7"/>
      <c r="AJ155" s="7"/>
      <c r="AK155" s="7"/>
      <c r="AL155" s="7"/>
    </row>
    <row r="156" ht="12.75" customHeight="1">
      <c r="A156" s="77"/>
      <c r="B156" s="76"/>
      <c r="C156" s="76"/>
      <c r="D156" s="76"/>
      <c r="E156" s="76"/>
      <c r="F156" s="76"/>
      <c r="G156" s="76"/>
      <c r="H156" s="76"/>
      <c r="I156" s="76"/>
      <c r="J156" s="76"/>
      <c r="K156" s="76"/>
      <c r="L156" s="76"/>
      <c r="M156" s="76"/>
      <c r="N156" s="76"/>
      <c r="O156" s="12"/>
      <c r="P156" s="12"/>
      <c r="Q156" s="12"/>
      <c r="R156" s="12"/>
      <c r="S156" s="12"/>
      <c r="T156" s="12"/>
      <c r="U156" s="12"/>
      <c r="V156" s="12"/>
      <c r="W156" s="7"/>
      <c r="X156" s="7"/>
      <c r="Y156" s="7"/>
      <c r="Z156" s="7"/>
      <c r="AA156" s="7"/>
      <c r="AB156" s="7"/>
      <c r="AC156" s="7"/>
      <c r="AD156" s="7"/>
      <c r="AE156" s="7"/>
      <c r="AF156" s="7"/>
      <c r="AG156" s="7"/>
      <c r="AH156" s="7"/>
      <c r="AI156" s="7"/>
      <c r="AJ156" s="7"/>
      <c r="AK156" s="7"/>
      <c r="AL156" s="7"/>
    </row>
    <row r="157" ht="25.5" customHeight="1">
      <c r="A157" s="77"/>
      <c r="B157" s="72" t="s">
        <v>361</v>
      </c>
      <c r="C157" s="2"/>
      <c r="D157" s="2"/>
      <c r="E157" s="2"/>
      <c r="F157" s="2"/>
      <c r="G157" s="2"/>
      <c r="H157" s="2"/>
      <c r="I157" s="2"/>
      <c r="J157" s="2"/>
      <c r="K157" s="2"/>
      <c r="L157" s="2"/>
      <c r="M157" s="2"/>
      <c r="N157" s="3"/>
      <c r="O157" s="12"/>
      <c r="P157" s="12"/>
      <c r="Q157" s="12"/>
      <c r="R157" s="12"/>
      <c r="S157" s="12"/>
      <c r="T157" s="12"/>
      <c r="U157" s="12"/>
      <c r="V157" s="12"/>
      <c r="W157" s="7"/>
      <c r="X157" s="7"/>
      <c r="Y157" s="7"/>
      <c r="Z157" s="7"/>
      <c r="AA157" s="7"/>
      <c r="AB157" s="7"/>
      <c r="AC157" s="7"/>
      <c r="AD157" s="7"/>
      <c r="AE157" s="7"/>
      <c r="AF157" s="7"/>
      <c r="AG157" s="7"/>
      <c r="AH157" s="7"/>
      <c r="AI157" s="7"/>
      <c r="AJ157" s="7"/>
      <c r="AK157" s="7"/>
      <c r="AL157" s="7"/>
    </row>
    <row r="158" ht="14.25" customHeight="1">
      <c r="A158" s="77"/>
      <c r="B158" s="72" t="s">
        <v>362</v>
      </c>
      <c r="C158" s="2"/>
      <c r="D158" s="2"/>
      <c r="E158" s="2"/>
      <c r="F158" s="2"/>
      <c r="G158" s="2"/>
      <c r="H158" s="2"/>
      <c r="I158" s="2"/>
      <c r="J158" s="2"/>
      <c r="K158" s="2"/>
      <c r="L158" s="2"/>
      <c r="M158" s="2"/>
      <c r="N158" s="3"/>
      <c r="O158" s="12"/>
      <c r="P158" s="12"/>
      <c r="Q158" s="12"/>
      <c r="R158" s="12"/>
      <c r="S158" s="12"/>
      <c r="T158" s="12"/>
      <c r="U158" s="12"/>
      <c r="V158" s="12"/>
      <c r="W158" s="7"/>
      <c r="X158" s="7"/>
      <c r="Y158" s="7"/>
      <c r="Z158" s="7"/>
      <c r="AA158" s="7"/>
      <c r="AB158" s="7"/>
      <c r="AC158" s="7"/>
      <c r="AD158" s="7"/>
      <c r="AE158" s="7"/>
      <c r="AF158" s="7"/>
      <c r="AG158" s="7"/>
      <c r="AH158" s="7"/>
      <c r="AI158" s="7"/>
      <c r="AJ158" s="7"/>
      <c r="AK158" s="7"/>
      <c r="AL158" s="7"/>
    </row>
    <row r="159" ht="25.5" customHeight="1">
      <c r="A159" s="77"/>
      <c r="B159" s="72" t="s">
        <v>363</v>
      </c>
      <c r="C159" s="2"/>
      <c r="D159" s="2"/>
      <c r="E159" s="2"/>
      <c r="F159" s="2"/>
      <c r="G159" s="2"/>
      <c r="H159" s="2"/>
      <c r="I159" s="2"/>
      <c r="J159" s="2"/>
      <c r="K159" s="2"/>
      <c r="L159" s="2"/>
      <c r="M159" s="2"/>
      <c r="N159" s="3"/>
      <c r="O159" s="12"/>
      <c r="P159" s="12"/>
      <c r="Q159" s="12"/>
      <c r="R159" s="12"/>
      <c r="S159" s="12"/>
      <c r="T159" s="12"/>
      <c r="U159" s="12"/>
      <c r="V159" s="12"/>
      <c r="W159" s="7"/>
      <c r="X159" s="7"/>
      <c r="Y159" s="7"/>
      <c r="Z159" s="7"/>
      <c r="AA159" s="7"/>
      <c r="AB159" s="7"/>
      <c r="AC159" s="7"/>
      <c r="AD159" s="7"/>
      <c r="AE159" s="7"/>
      <c r="AF159" s="7"/>
      <c r="AG159" s="7"/>
      <c r="AH159" s="7"/>
      <c r="AI159" s="7"/>
      <c r="AJ159" s="7"/>
      <c r="AK159" s="7"/>
      <c r="AL159" s="7"/>
    </row>
    <row r="160" ht="14.25" customHeight="1">
      <c r="A160" s="77"/>
      <c r="B160" s="72" t="s">
        <v>364</v>
      </c>
      <c r="C160" s="2"/>
      <c r="D160" s="2"/>
      <c r="E160" s="2"/>
      <c r="F160" s="2"/>
      <c r="G160" s="2"/>
      <c r="H160" s="2"/>
      <c r="I160" s="2"/>
      <c r="J160" s="2"/>
      <c r="K160" s="2"/>
      <c r="L160" s="2"/>
      <c r="M160" s="2"/>
      <c r="N160" s="3"/>
      <c r="O160" s="12"/>
      <c r="P160" s="12"/>
      <c r="Q160" s="12"/>
      <c r="R160" s="12"/>
      <c r="S160" s="12"/>
      <c r="T160" s="12"/>
      <c r="U160" s="12"/>
      <c r="V160" s="12"/>
      <c r="W160" s="7"/>
      <c r="X160" s="7"/>
      <c r="Y160" s="7"/>
      <c r="Z160" s="7"/>
      <c r="AA160" s="7"/>
      <c r="AB160" s="7"/>
      <c r="AC160" s="7"/>
      <c r="AD160" s="7"/>
      <c r="AE160" s="7"/>
      <c r="AF160" s="7"/>
      <c r="AG160" s="7"/>
      <c r="AH160" s="7"/>
      <c r="AI160" s="7"/>
      <c r="AJ160" s="7"/>
      <c r="AK160" s="7"/>
      <c r="AL160" s="7"/>
    </row>
    <row r="161" ht="25.5" customHeight="1">
      <c r="A161" s="77"/>
      <c r="B161" s="72" t="s">
        <v>365</v>
      </c>
      <c r="C161" s="2"/>
      <c r="D161" s="2"/>
      <c r="E161" s="2"/>
      <c r="F161" s="2"/>
      <c r="G161" s="2"/>
      <c r="H161" s="2"/>
      <c r="I161" s="2"/>
      <c r="J161" s="2"/>
      <c r="K161" s="2"/>
      <c r="L161" s="2"/>
      <c r="M161" s="2"/>
      <c r="N161" s="3"/>
      <c r="O161" s="12"/>
      <c r="P161" s="12"/>
      <c r="Q161" s="12"/>
      <c r="R161" s="12"/>
      <c r="S161" s="12"/>
      <c r="T161" s="12"/>
      <c r="U161" s="12"/>
      <c r="V161" s="12"/>
      <c r="W161" s="7"/>
      <c r="X161" s="7"/>
      <c r="Y161" s="7"/>
      <c r="Z161" s="7"/>
      <c r="AA161" s="7"/>
      <c r="AB161" s="7"/>
      <c r="AC161" s="7"/>
      <c r="AD161" s="7"/>
      <c r="AE161" s="7"/>
      <c r="AF161" s="7"/>
      <c r="AG161" s="7"/>
      <c r="AH161" s="7"/>
      <c r="AI161" s="7"/>
      <c r="AJ161" s="7"/>
      <c r="AK161" s="7"/>
      <c r="AL161" s="7"/>
    </row>
    <row r="162" ht="12.75" customHeight="1">
      <c r="A162" s="82" t="s">
        <v>366</v>
      </c>
      <c r="B162" s="14" t="s">
        <v>367</v>
      </c>
      <c r="O162" s="12"/>
      <c r="P162" s="12"/>
      <c r="Q162" s="12"/>
      <c r="R162" s="12"/>
      <c r="S162" s="12"/>
      <c r="T162" s="12"/>
      <c r="U162" s="12"/>
      <c r="V162" s="12"/>
      <c r="W162" s="7"/>
      <c r="X162" s="7"/>
      <c r="Y162" s="7"/>
      <c r="Z162" s="7"/>
      <c r="AA162" s="7"/>
      <c r="AB162" s="7"/>
      <c r="AC162" s="7"/>
      <c r="AD162" s="7"/>
      <c r="AE162" s="7"/>
      <c r="AF162" s="7"/>
      <c r="AG162" s="7"/>
      <c r="AH162" s="7"/>
      <c r="AI162" s="7"/>
      <c r="AJ162" s="7"/>
      <c r="AK162" s="7"/>
      <c r="AL162" s="7"/>
    </row>
    <row r="163" ht="12.75" customHeight="1">
      <c r="A163" s="82" t="s">
        <v>368</v>
      </c>
      <c r="B163" s="14" t="s">
        <v>369</v>
      </c>
      <c r="O163" s="12"/>
      <c r="P163" s="12"/>
      <c r="Q163" s="12"/>
      <c r="R163" s="12"/>
      <c r="S163" s="12"/>
      <c r="T163" s="12"/>
      <c r="U163" s="12"/>
      <c r="V163" s="12"/>
      <c r="W163" s="7"/>
      <c r="X163" s="7"/>
      <c r="Y163" s="7"/>
      <c r="Z163" s="7"/>
      <c r="AA163" s="7"/>
      <c r="AB163" s="7"/>
      <c r="AC163" s="7"/>
      <c r="AD163" s="7"/>
      <c r="AE163" s="7"/>
      <c r="AF163" s="7"/>
      <c r="AG163" s="7"/>
      <c r="AH163" s="7"/>
      <c r="AI163" s="7"/>
      <c r="AJ163" s="7"/>
      <c r="AK163" s="7"/>
      <c r="AL163" s="7"/>
    </row>
    <row r="164" ht="12.75" customHeight="1">
      <c r="A164" s="82" t="s">
        <v>370</v>
      </c>
      <c r="B164" s="14" t="s">
        <v>371</v>
      </c>
      <c r="O164" s="12"/>
      <c r="P164" s="12"/>
      <c r="Q164" s="12"/>
      <c r="R164" s="12"/>
      <c r="S164" s="12"/>
      <c r="T164" s="12"/>
      <c r="U164" s="12"/>
      <c r="V164" s="12"/>
      <c r="W164" s="7"/>
      <c r="X164" s="7"/>
      <c r="Y164" s="7"/>
      <c r="Z164" s="7"/>
      <c r="AA164" s="7"/>
      <c r="AB164" s="7"/>
      <c r="AC164" s="7"/>
      <c r="AD164" s="7"/>
      <c r="AE164" s="7"/>
      <c r="AF164" s="7"/>
      <c r="AG164" s="7"/>
      <c r="AH164" s="7"/>
      <c r="AI164" s="7"/>
      <c r="AJ164" s="7"/>
      <c r="AK164" s="7"/>
      <c r="AL164" s="7"/>
    </row>
    <row r="165" ht="12.75" customHeight="1">
      <c r="A165" s="82" t="s">
        <v>372</v>
      </c>
      <c r="B165" s="14" t="s">
        <v>373</v>
      </c>
      <c r="O165" s="12"/>
      <c r="P165" s="12"/>
      <c r="Q165" s="12"/>
      <c r="R165" s="12"/>
      <c r="S165" s="12"/>
      <c r="T165" s="12"/>
      <c r="U165" s="12"/>
      <c r="V165" s="12"/>
      <c r="W165" s="7"/>
      <c r="X165" s="7"/>
      <c r="Y165" s="7"/>
      <c r="Z165" s="7"/>
      <c r="AA165" s="7"/>
      <c r="AB165" s="7"/>
      <c r="AC165" s="7"/>
      <c r="AD165" s="7"/>
      <c r="AE165" s="7"/>
      <c r="AF165" s="7"/>
      <c r="AG165" s="7"/>
      <c r="AH165" s="7"/>
      <c r="AI165" s="7"/>
      <c r="AJ165" s="7"/>
      <c r="AK165" s="7"/>
      <c r="AL165" s="7"/>
    </row>
    <row r="166" ht="12.75" customHeight="1">
      <c r="A166" s="14" t="s">
        <v>374</v>
      </c>
      <c r="B166" s="83"/>
      <c r="C166" s="83"/>
      <c r="D166" s="83"/>
      <c r="E166" s="83"/>
      <c r="F166" s="83"/>
      <c r="G166" s="83"/>
      <c r="H166" s="84"/>
      <c r="I166" s="84"/>
      <c r="J166" s="84"/>
      <c r="K166" s="84"/>
      <c r="L166" s="84"/>
      <c r="M166" s="84"/>
      <c r="N166" s="84"/>
      <c r="O166" s="12"/>
      <c r="P166" s="12"/>
      <c r="Q166" s="12"/>
      <c r="R166" s="12"/>
      <c r="S166" s="12"/>
      <c r="T166" s="12"/>
      <c r="U166" s="12"/>
      <c r="V166" s="12"/>
      <c r="W166" s="7"/>
      <c r="X166" s="7"/>
      <c r="Y166" s="7"/>
      <c r="Z166" s="7"/>
      <c r="AA166" s="7"/>
      <c r="AB166" s="7"/>
      <c r="AC166" s="7"/>
      <c r="AD166" s="7"/>
      <c r="AE166" s="7"/>
      <c r="AF166" s="7"/>
      <c r="AG166" s="7"/>
      <c r="AH166" s="7"/>
      <c r="AI166" s="7"/>
      <c r="AJ166" s="7"/>
      <c r="AK166" s="7"/>
      <c r="AL166" s="7"/>
    </row>
    <row r="167" ht="12.75" customHeight="1">
      <c r="A167" s="14" t="s">
        <v>375</v>
      </c>
      <c r="B167" s="83"/>
      <c r="C167" s="83"/>
      <c r="D167" s="83"/>
      <c r="E167" s="83"/>
      <c r="F167" s="83"/>
      <c r="G167" s="83"/>
      <c r="H167" s="84"/>
      <c r="I167" s="84"/>
      <c r="J167" s="84"/>
      <c r="K167" s="84"/>
      <c r="L167" s="84"/>
      <c r="M167" s="84"/>
      <c r="N167" s="84"/>
      <c r="O167" s="12"/>
      <c r="P167" s="12"/>
      <c r="Q167" s="12"/>
      <c r="R167" s="12"/>
      <c r="S167" s="12"/>
      <c r="T167" s="12"/>
      <c r="U167" s="12"/>
      <c r="V167" s="12"/>
      <c r="W167" s="7"/>
      <c r="X167" s="7"/>
      <c r="Y167" s="7"/>
      <c r="Z167" s="7"/>
      <c r="AA167" s="7"/>
      <c r="AB167" s="7"/>
      <c r="AC167" s="7"/>
      <c r="AD167" s="7"/>
      <c r="AE167" s="7"/>
      <c r="AF167" s="7"/>
      <c r="AG167" s="7"/>
      <c r="AH167" s="7"/>
      <c r="AI167" s="7"/>
      <c r="AJ167" s="7"/>
      <c r="AK167" s="7"/>
      <c r="AL167" s="7"/>
    </row>
    <row r="168" ht="12.75" customHeight="1">
      <c r="A168" s="14" t="s">
        <v>376</v>
      </c>
      <c r="B168" s="83"/>
      <c r="C168" s="83"/>
      <c r="D168" s="83"/>
      <c r="E168" s="83"/>
      <c r="F168" s="83"/>
      <c r="G168" s="83"/>
      <c r="H168" s="84"/>
      <c r="I168" s="84"/>
      <c r="J168" s="84"/>
      <c r="K168" s="84"/>
      <c r="L168" s="84"/>
      <c r="M168" s="84"/>
      <c r="N168" s="84"/>
      <c r="O168" s="12"/>
      <c r="P168" s="12"/>
      <c r="Q168" s="12"/>
      <c r="R168" s="12"/>
      <c r="S168" s="12"/>
      <c r="T168" s="12"/>
      <c r="U168" s="12"/>
      <c r="V168" s="12"/>
      <c r="W168" s="7"/>
      <c r="X168" s="7"/>
      <c r="Y168" s="7"/>
      <c r="Z168" s="7"/>
      <c r="AA168" s="7"/>
      <c r="AB168" s="7"/>
      <c r="AC168" s="7"/>
      <c r="AD168" s="7"/>
      <c r="AE168" s="7"/>
      <c r="AF168" s="7"/>
      <c r="AG168" s="7"/>
      <c r="AH168" s="7"/>
      <c r="AI168" s="7"/>
      <c r="AJ168" s="7"/>
      <c r="AK168" s="7"/>
      <c r="AL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ht="28.5" customHeight="1">
      <c r="A170" s="1" t="s">
        <v>377</v>
      </c>
      <c r="B170" s="2"/>
      <c r="C170" s="2"/>
      <c r="D170" s="2"/>
      <c r="E170" s="2"/>
      <c r="F170" s="2"/>
      <c r="G170" s="2"/>
      <c r="H170" s="2"/>
      <c r="I170" s="2"/>
      <c r="J170" s="2"/>
      <c r="K170" s="3"/>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ht="59.25" customHeight="1">
      <c r="A171" s="1" t="s">
        <v>378</v>
      </c>
      <c r="B171" s="2"/>
      <c r="C171" s="2"/>
      <c r="D171" s="2"/>
      <c r="E171" s="2"/>
      <c r="F171" s="2"/>
      <c r="G171" s="2"/>
      <c r="H171" s="2"/>
      <c r="I171" s="2"/>
      <c r="J171" s="2"/>
      <c r="K171" s="3"/>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ht="12.75" customHeight="1">
      <c r="A174" s="7"/>
      <c r="B174" s="7" t="s">
        <v>379</v>
      </c>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ht="55.5" customHeight="1">
      <c r="A175" s="7"/>
      <c r="B175" s="85"/>
      <c r="C175" s="8" t="s">
        <v>380</v>
      </c>
      <c r="D175" s="8" t="s">
        <v>381</v>
      </c>
      <c r="E175" s="8" t="s">
        <v>382</v>
      </c>
      <c r="F175" s="8" t="s">
        <v>383</v>
      </c>
      <c r="G175" s="8" t="s">
        <v>384</v>
      </c>
      <c r="H175" s="8" t="s">
        <v>385</v>
      </c>
      <c r="I175" s="8" t="s">
        <v>386</v>
      </c>
      <c r="J175" s="8" t="s">
        <v>387</v>
      </c>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ht="12.75" customHeight="1">
      <c r="A176" s="7"/>
      <c r="B176" s="9"/>
      <c r="C176" s="7"/>
      <c r="D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ht="12.75" customHeight="1">
      <c r="A177" s="7"/>
      <c r="B177" s="9" t="s">
        <v>168</v>
      </c>
      <c r="C177" s="17">
        <f>('Aantal zeedieren gedood'!K16+('Aantal zeedieren gedood'!K16/'Aantal zeedieren gedood'!K15)*'Aantal zeedieren gedood'!K26+'Aantal zeedieren gedood'!K32+('Aantal zeedieren gedood'!K32/'Aantal zeedieren gedood'!K28)*'Aantal zeedieren gedood'!K36+(('Aantal zeedieren gedood'!G64+'Aantal zeedieren gedood'!G65)/SUM('Aantal zeedieren gedood'!G64:G73))*'Aantal zeedieren gedood'!K73)</f>
        <v>1.461630934</v>
      </c>
      <c r="D177" s="17">
        <f>'Aantal zeedieren gedood'!C177*'Aantal zeedieren gedood'!I16</f>
        <v>1.724724502</v>
      </c>
      <c r="E177" s="17">
        <f>'Aantal zeedieren gedood'!O16*'Aantal zeedieren gedood'!D177</f>
        <v>1.680782477</v>
      </c>
      <c r="F177" s="17">
        <v>1.0</v>
      </c>
      <c r="G177" s="17">
        <f>(0.2+0.65)/2</f>
        <v>0.425</v>
      </c>
      <c r="H177" s="17">
        <f>'Aantal zeedieren gedood'!E177*'Aantal zeedieren gedood'!F177*'Aantal zeedieren gedood'!G177</f>
        <v>0.7143325526</v>
      </c>
      <c r="I177" s="17">
        <f>(0.05+0.2)/2</f>
        <v>0.125</v>
      </c>
      <c r="J177" s="17">
        <f>'Aantal zeedieren gedood'!E177*'Aantal zeedieren gedood'!F177*'Aantal zeedieren gedood'!I177</f>
        <v>0.2100978096</v>
      </c>
      <c r="K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ht="12.75" customHeight="1">
      <c r="A178" s="7"/>
      <c r="B178" s="9" t="s">
        <v>169</v>
      </c>
      <c r="C178" s="17">
        <f>'Aantal zeedieren gedood'!K18+('Aantal zeedieren gedood'!K18/'Aantal zeedieren gedood'!K15)*'Aantal zeedieren gedood'!K26+'Aantal zeedieren gedood'!K34+('Aantal zeedieren gedood'!K34/'Aantal zeedieren gedood'!K28)*'Aantal zeedieren gedood'!K36+'Aantal zeedieren gedood'!K39+'Aantal zeedieren gedood'!K41+(('Aantal zeedieren gedood'!G68+'Aantal zeedieren gedood'!G72)/SUM('Aantal zeedieren gedood'!G64:G73)*'Aantal zeedieren gedood'!K73*0.5+'Aantal zeedieren gedood'!K86+('Aantal zeedieren gedood'!K86/'Aantal zeedieren gedood'!K78)*'Aantal zeedieren gedood'!K88)</f>
        <v>2.204052911</v>
      </c>
      <c r="D178" s="17">
        <f>'Aantal zeedieren gedood'!C178*'Aantal zeedieren gedood'!I18</f>
        <v>2.46853926</v>
      </c>
      <c r="E178" s="17">
        <f>'Aantal zeedieren gedood'!O18*'Aantal zeedieren gedood'!D178</f>
        <v>1.70329209</v>
      </c>
      <c r="F178" s="17">
        <v>1.3</v>
      </c>
      <c r="G178" s="17">
        <f>(0.25+0.4)/2</f>
        <v>0.325</v>
      </c>
      <c r="H178" s="17">
        <f>'Aantal zeedieren gedood'!E178*'Aantal zeedieren gedood'!F178*'Aantal zeedieren gedood'!G178</f>
        <v>0.7196409078</v>
      </c>
      <c r="I178" s="17">
        <f>(0.1+0.25)/2</f>
        <v>0.175</v>
      </c>
      <c r="J178" s="17">
        <f>'Aantal zeedieren gedood'!E178*'Aantal zeedieren gedood'!F178*'Aantal zeedieren gedood'!I178</f>
        <v>0.3874989504</v>
      </c>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ht="12.75" customHeight="1">
      <c r="A179" s="7"/>
      <c r="B179" s="9" t="s">
        <v>171</v>
      </c>
      <c r="C179" s="17">
        <f>'Aantal zeedieren gedood'!K23+('Aantal zeedieren gedood'!K23/'Aantal zeedieren gedood'!K15)*'Aantal zeedieren gedood'!K26</f>
        <v>0.1694858156</v>
      </c>
      <c r="D179" s="17">
        <f>'Aantal zeedieren gedood'!C179*'Aantal zeedieren gedood'!I23</f>
        <v>0.1898241135</v>
      </c>
      <c r="E179" s="17">
        <f>'Aantal zeedieren gedood'!O23*'Aantal zeedieren gedood'!D179</f>
        <v>0.1898241135</v>
      </c>
      <c r="F179" s="17">
        <v>1.3</v>
      </c>
      <c r="G179" s="17">
        <f>(0.18+0.4)/2</f>
        <v>0.29</v>
      </c>
      <c r="H179" s="17">
        <f>'Aantal zeedieren gedood'!E179*'Aantal zeedieren gedood'!F179*'Aantal zeedieren gedood'!G179</f>
        <v>0.07156369078</v>
      </c>
      <c r="I179" s="17">
        <f>(0.05+0.25)/2</f>
        <v>0.15</v>
      </c>
      <c r="J179" s="17">
        <f>'Aantal zeedieren gedood'!E179*'Aantal zeedieren gedood'!F179*'Aantal zeedieren gedood'!I179</f>
        <v>0.03701570213</v>
      </c>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ht="12.75" customHeight="1">
      <c r="A180" s="7"/>
      <c r="B180" s="9"/>
      <c r="C180" s="7"/>
      <c r="D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ht="12.75" customHeight="1">
      <c r="A181" s="7"/>
      <c r="B181" s="9"/>
      <c r="C181" s="7"/>
      <c r="D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ht="12.75" customHeight="1">
      <c r="A182" s="7"/>
      <c r="B182" s="8" t="s">
        <v>185</v>
      </c>
      <c r="C182" s="17">
        <f>'Aantal zeedieren gedood'!K55</f>
        <v>0.493</v>
      </c>
      <c r="D182" s="17">
        <f>'Aantal zeedieren gedood'!C182*AVERAGE('Aantal zeedieren gedood'!I56:I58)</f>
        <v>1.0846</v>
      </c>
      <c r="E182" s="17"/>
      <c r="F182" s="17">
        <v>1.6</v>
      </c>
      <c r="G182" s="17">
        <f>(0.05+0.4)/2</f>
        <v>0.225</v>
      </c>
      <c r="H182" s="17">
        <f>'Aantal zeedieren gedood'!D182*'Aantal zeedieren gedood'!F182*'Aantal zeedieren gedood'!G182</f>
        <v>0.390456</v>
      </c>
      <c r="I182" s="17">
        <v>0.0</v>
      </c>
      <c r="J182" s="17">
        <f>'Aantal zeedieren gedood'!D182*'Aantal zeedieren gedood'!F182*'Aantal zeedieren gedood'!I182</f>
        <v>0</v>
      </c>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ht="12.75" customHeight="1">
      <c r="A183" s="7"/>
      <c r="B183" s="7"/>
      <c r="C183" s="17"/>
      <c r="D183" s="17"/>
      <c r="E183" s="17"/>
      <c r="F183" s="17"/>
      <c r="G183" s="17"/>
      <c r="H183" s="17"/>
      <c r="I183" s="17"/>
      <c r="J183" s="1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ht="12.75" customHeight="1">
      <c r="A184" s="7"/>
      <c r="B184" s="7"/>
      <c r="C184" s="17"/>
      <c r="D184" s="17"/>
      <c r="E184" s="17"/>
      <c r="F184" s="17"/>
      <c r="G184" s="17"/>
      <c r="H184" s="17"/>
      <c r="I184" s="17"/>
      <c r="J184" s="1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ht="12.75" customHeight="1">
      <c r="A185" s="7"/>
      <c r="B185" s="7" t="s">
        <v>180</v>
      </c>
      <c r="C185" s="17"/>
      <c r="D185" s="17"/>
      <c r="E185" s="17"/>
      <c r="F185" s="17"/>
      <c r="G185" s="17"/>
      <c r="H185" s="17">
        <f>SUM('Aantal zeedieren gedood'!H177:H182)</f>
        <v>1.895993151</v>
      </c>
      <c r="I185" s="17"/>
      <c r="J185" s="17">
        <f>SUM('Aantal zeedieren gedood'!J177:J182)</f>
        <v>0.6346124621</v>
      </c>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ht="12.75" customHeight="1">
      <c r="A186" s="7"/>
      <c r="B186" s="7"/>
      <c r="C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ht="12.75" customHeight="1">
      <c r="A187" s="14" t="s">
        <v>388</v>
      </c>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ht="12.75" customHeight="1">
      <c r="A188" s="14" t="s">
        <v>389</v>
      </c>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ht="45.75" customHeight="1">
      <c r="A190" s="1" t="s">
        <v>390</v>
      </c>
      <c r="B190" s="2"/>
      <c r="C190" s="2"/>
      <c r="D190" s="2"/>
      <c r="E190" s="2"/>
      <c r="F190" s="2"/>
      <c r="G190" s="2"/>
      <c r="H190" s="2"/>
      <c r="I190" s="2"/>
      <c r="J190" s="2"/>
      <c r="K190" s="3"/>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ht="12.75" customHeight="1">
      <c r="A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ht="12.75" customHeight="1">
      <c r="A192" s="7"/>
      <c r="B192" s="8" t="s">
        <v>391</v>
      </c>
      <c r="C192" s="7">
        <f>13.5*0.454*1000000000</f>
        <v>6129000000</v>
      </c>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ht="12.75" customHeight="1">
      <c r="A193" s="7"/>
      <c r="B193" s="8"/>
      <c r="C193" s="7"/>
      <c r="D193" s="7" t="s">
        <v>392</v>
      </c>
      <c r="E193" s="7" t="s">
        <v>393</v>
      </c>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ht="12.75" customHeight="1">
      <c r="A194" s="7"/>
      <c r="B194" s="8" t="s">
        <v>394</v>
      </c>
      <c r="C194" s="7">
        <f>50*1000000000</f>
        <v>50000000000</v>
      </c>
      <c r="D194" s="7"/>
      <c r="E194" s="7"/>
      <c r="F194" s="7"/>
      <c r="G194" s="7"/>
      <c r="H194" s="7"/>
      <c r="I194" s="7"/>
      <c r="J194" s="7"/>
      <c r="K194" s="7"/>
      <c r="L194" s="7"/>
      <c r="M194" s="7"/>
      <c r="N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ht="12.75" customHeight="1">
      <c r="A195" s="7"/>
      <c r="B195" s="8" t="s">
        <v>395</v>
      </c>
      <c r="C195" s="7">
        <f>Overzicht!C12*'Aantal landdieren gedood'!C9/'Aantal zeedieren gedood'!C194</f>
        <v>0.004968025766</v>
      </c>
      <c r="D195" s="7">
        <v>0.2</v>
      </c>
      <c r="E195" s="7">
        <f>'Aantal zeedieren gedood'!C192*'Aantal zeedieren gedood'!C195*'Aantal zeedieren gedood'!D195</f>
        <v>6089805.984</v>
      </c>
      <c r="F195" s="7"/>
      <c r="G195" s="1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ht="12.75" customHeight="1">
      <c r="A196" s="7"/>
      <c r="B196" s="8" t="s">
        <v>396</v>
      </c>
      <c r="C196" s="6">
        <f>1250000000</f>
        <v>1250000000</v>
      </c>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ht="12.75" customHeight="1">
      <c r="A197" s="7"/>
      <c r="B197" s="8" t="s">
        <v>395</v>
      </c>
      <c r="C197" s="7">
        <f>Overzicht!C10*'Aantal landdieren gedood'!C9/'Aantal zeedieren gedood'!C196</f>
        <v>0.005322556063</v>
      </c>
      <c r="D197" s="7">
        <v>0.05</v>
      </c>
      <c r="E197" s="7">
        <f>'Aantal zeedieren gedood'!C192*'Aantal zeedieren gedood'!C197*'Aantal zeedieren gedood'!D197</f>
        <v>1631097.306</v>
      </c>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ht="34.5" customHeight="1">
      <c r="A199" s="1" t="s">
        <v>397</v>
      </c>
      <c r="B199" s="2"/>
      <c r="C199" s="2"/>
      <c r="D199" s="2"/>
      <c r="E199" s="2"/>
      <c r="F199" s="2"/>
      <c r="G199" s="2"/>
      <c r="H199" s="2"/>
      <c r="I199" s="2"/>
      <c r="J199" s="2"/>
      <c r="K199" s="3"/>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ht="12.75" customHeight="1">
      <c r="A201" s="7"/>
      <c r="B201" s="7"/>
      <c r="C201" s="8" t="s">
        <v>398</v>
      </c>
      <c r="D201" s="8" t="s">
        <v>399</v>
      </c>
      <c r="E201" s="86" t="s">
        <v>400</v>
      </c>
      <c r="F201" s="86" t="s">
        <v>401</v>
      </c>
      <c r="G201" s="86" t="s">
        <v>402</v>
      </c>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row>
    <row r="202" ht="12.75" customHeight="1">
      <c r="A202" s="7"/>
      <c r="B202" s="7" t="s">
        <v>403</v>
      </c>
      <c r="C202" s="6">
        <f>'Aantal zeedieren gedood'!H185*'Aantal landdieren gedood'!C9</f>
        <v>30524490.3</v>
      </c>
      <c r="D202" s="6">
        <f>'Aantal zeedieren gedood'!J185*'Aantal landdieren gedood'!C9</f>
        <v>10216926.12</v>
      </c>
      <c r="E202" s="6">
        <f>'Aantal zeedieren gedood'!C202/0.225</f>
        <v>135664401.3</v>
      </c>
      <c r="F202" s="6">
        <f>'Aantal zeedieren gedood'!D202/0.045</f>
        <v>227042802.6</v>
      </c>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ht="12.75" customHeight="1">
      <c r="A203" s="7"/>
      <c r="B203" s="7" t="s">
        <v>24</v>
      </c>
      <c r="C203" s="6">
        <f>'Aantal zeedieren gedood'!E197</f>
        <v>1631097.306</v>
      </c>
      <c r="D203" s="6"/>
      <c r="E203" s="6">
        <f>'Aantal zeedieren gedood'!C203/0.225</f>
        <v>7249321.358</v>
      </c>
      <c r="F203" s="6"/>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ht="12.75" customHeight="1">
      <c r="A204" s="7"/>
      <c r="B204" s="7" t="s">
        <v>404</v>
      </c>
      <c r="C204" s="6">
        <f>'Aantal zeedieren gedood'!E195</f>
        <v>6089805.984</v>
      </c>
      <c r="D204" s="6"/>
      <c r="E204" s="6">
        <f>'Aantal zeedieren gedood'!C204/0.225</f>
        <v>27065804.37</v>
      </c>
      <c r="F204" s="6"/>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row>
    <row r="206" ht="12.75" customHeight="1">
      <c r="A206" s="7"/>
      <c r="B206" s="7" t="s">
        <v>405</v>
      </c>
      <c r="C206" s="7"/>
      <c r="D206" s="7"/>
      <c r="E206" s="6">
        <f>SUM('Aantal zeedieren gedood'!E202:E204)</f>
        <v>169979527.1</v>
      </c>
      <c r="F206" s="6">
        <f>'Aantal zeedieren gedood'!F202</f>
        <v>227042802.6</v>
      </c>
      <c r="G206" s="6">
        <f>'Aantal zeedieren gedood'!F206</f>
        <v>227042802.6</v>
      </c>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row>
    <row r="207" ht="12.75" customHeight="1">
      <c r="A207" s="7"/>
      <c r="B207" s="7"/>
      <c r="C207" s="7"/>
      <c r="D207" s="7"/>
      <c r="E207" s="6"/>
      <c r="F207" s="6"/>
      <c r="G207" s="6"/>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row>
    <row r="208" ht="12.75" customHeight="1">
      <c r="A208" s="75" t="s">
        <v>406</v>
      </c>
      <c r="B208" s="2"/>
      <c r="C208" s="2"/>
      <c r="D208" s="2"/>
      <c r="E208" s="2"/>
      <c r="F208" s="2"/>
      <c r="G208" s="2"/>
      <c r="H208" s="2"/>
      <c r="I208" s="2"/>
      <c r="J208" s="2"/>
      <c r="K208" s="3"/>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row>
    <row r="209" ht="12.75" customHeight="1">
      <c r="A209" s="14" t="s">
        <v>407</v>
      </c>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row>
    <row r="210" ht="12.75" customHeight="1">
      <c r="A210" s="14" t="s">
        <v>408</v>
      </c>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row>
    <row r="211" ht="12.75" customHeight="1">
      <c r="A211" s="7"/>
      <c r="B211" s="7"/>
      <c r="C211" s="7"/>
      <c r="D211" s="7"/>
      <c r="E211" s="6"/>
      <c r="F211" s="6"/>
      <c r="G211" s="6"/>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row>
    <row r="212" ht="12.75" customHeight="1">
      <c r="A212" s="59" t="s">
        <v>409</v>
      </c>
      <c r="B212" s="60"/>
      <c r="C212" s="60"/>
      <c r="D212" s="60"/>
      <c r="E212" s="60"/>
      <c r="F212" s="60"/>
      <c r="G212" s="60"/>
      <c r="H212" s="60"/>
      <c r="I212" s="60"/>
      <c r="J212" s="60"/>
      <c r="K212" s="61"/>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row>
    <row r="213" ht="12.75" customHeight="1">
      <c r="A213" s="64"/>
      <c r="B213" s="65"/>
      <c r="C213" s="65"/>
      <c r="D213" s="65"/>
      <c r="E213" s="65"/>
      <c r="F213" s="65"/>
      <c r="G213" s="65"/>
      <c r="H213" s="65"/>
      <c r="I213" s="65"/>
      <c r="J213" s="65"/>
      <c r="K213" s="66"/>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row>
    <row r="215" ht="12.75" customHeight="1">
      <c r="B215" s="7"/>
      <c r="C215" s="7" t="s">
        <v>410</v>
      </c>
      <c r="D215" s="7" t="s">
        <v>411</v>
      </c>
      <c r="E215" s="8" t="s">
        <v>412</v>
      </c>
      <c r="F215" s="8" t="s">
        <v>413</v>
      </c>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row>
    <row r="216" ht="12.75" customHeight="1">
      <c r="B216" s="8" t="s">
        <v>414</v>
      </c>
      <c r="C216" s="7">
        <f>1000*24206187</f>
        <v>24206187000</v>
      </c>
      <c r="D216" s="17">
        <f>'Aantal zeedieren gedood'!C216/'Aantal zeedieren gedood'!$C$216</f>
        <v>1</v>
      </c>
      <c r="E216" s="7">
        <f>1000000*((576422+1126830)/2)</f>
        <v>851626000000</v>
      </c>
      <c r="F216" s="87">
        <f>'Aantal zeedieren gedood'!C216/'Aantal zeedieren gedood'!E216</f>
        <v>0.02842349459</v>
      </c>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ht="12.75" customHeight="1">
      <c r="B217" s="8" t="s">
        <v>415</v>
      </c>
      <c r="C217" s="7">
        <f>1000*188147</f>
        <v>188147000</v>
      </c>
      <c r="D217" s="17">
        <f>'Aantal zeedieren gedood'!C217/'Aantal zeedieren gedood'!$C$216</f>
        <v>0.007772682249</v>
      </c>
      <c r="E217" s="7">
        <f>188147*1000000</f>
        <v>188147000000</v>
      </c>
      <c r="F217" s="87">
        <f>'Aantal zeedieren gedood'!C217/'Aantal zeedieren gedood'!E217</f>
        <v>0.001</v>
      </c>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ht="12.75" customHeight="1">
      <c r="B218" s="8" t="s">
        <v>416</v>
      </c>
      <c r="C218" s="7">
        <f>'Aantal zeedieren gedood'!C216-'Aantal zeedieren gedood'!C217</f>
        <v>24018040000</v>
      </c>
      <c r="D218" s="17">
        <f>'Aantal zeedieren gedood'!C218/'Aantal zeedieren gedood'!$C$216</f>
        <v>0.9922273178</v>
      </c>
      <c r="E218" s="7">
        <f>'Aantal zeedieren gedood'!E216-'Aantal zeedieren gedood'!E217</f>
        <v>663479000000</v>
      </c>
      <c r="F218" s="87">
        <f>'Aantal zeedieren gedood'!C218/'Aantal zeedieren gedood'!E218</f>
        <v>0.03620015102</v>
      </c>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row>
    <row r="219" ht="12.75" customHeight="1">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ht="24.0" customHeight="1">
      <c r="A220" s="1" t="s">
        <v>417</v>
      </c>
      <c r="B220" s="2"/>
      <c r="C220" s="2"/>
      <c r="D220" s="2"/>
      <c r="E220" s="2"/>
      <c r="F220" s="2"/>
      <c r="G220" s="2"/>
      <c r="H220" s="2"/>
      <c r="I220" s="2"/>
      <c r="J220" s="2"/>
      <c r="K220" s="3"/>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row>
    <row r="221" ht="12.75" customHeight="1">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row>
    <row r="222" ht="12.75" customHeight="1">
      <c r="A222" s="8" t="s">
        <v>418</v>
      </c>
      <c r="B222" s="8" t="s">
        <v>419</v>
      </c>
      <c r="C222" s="8" t="s">
        <v>420</v>
      </c>
      <c r="D222" s="8" t="s">
        <v>421</v>
      </c>
      <c r="E222" s="8" t="s">
        <v>422</v>
      </c>
      <c r="F222" s="8" t="s">
        <v>411</v>
      </c>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ht="12.75" customHeight="1">
      <c r="A223" s="8" t="s">
        <v>38</v>
      </c>
      <c r="B223" s="17">
        <f>Overzicht!C13</f>
        <v>14.67644583</v>
      </c>
      <c r="C223" s="17">
        <f>Overzicht!G14</f>
        <v>2.808466267</v>
      </c>
      <c r="D223" s="17">
        <f>0.035</f>
        <v>0.035</v>
      </c>
      <c r="E223" s="27">
        <f>'Aantal zeedieren gedood'!D223*'Aantal zeedieren gedood'!C223</f>
        <v>0.09829631933</v>
      </c>
      <c r="F223" s="27">
        <f>'Aantal zeedieren gedood'!E223/'Aantal zeedieren gedood'!$E$227</f>
        <v>0.2086017737</v>
      </c>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ht="12.75" customHeight="1">
      <c r="A224" s="8" t="s">
        <v>61</v>
      </c>
      <c r="B224" s="17">
        <f>Overzicht!C14</f>
        <v>0.1564545463</v>
      </c>
      <c r="C224" s="17">
        <f>Overzicht!G15</f>
        <v>10.59031255</v>
      </c>
      <c r="D224" s="17">
        <f>'Aantal zeedieren gedood'!D223</f>
        <v>0.035</v>
      </c>
      <c r="E224" s="27">
        <f>'Aantal zeedieren gedood'!D224*'Aantal zeedieren gedood'!C224</f>
        <v>0.3706609392</v>
      </c>
      <c r="F224" s="27">
        <f>'Aantal zeedieren gedood'!E224/'Aantal zeedieren gedood'!$E$227</f>
        <v>0.7866065574</v>
      </c>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ht="12.75" customHeight="1">
      <c r="A225" s="8" t="s">
        <v>70</v>
      </c>
      <c r="B225" s="17">
        <f>Overzicht!C15</f>
        <v>0.5899670453</v>
      </c>
      <c r="C225" s="17">
        <f>Overzicht!G16</f>
        <v>0.1128953539</v>
      </c>
      <c r="D225" s="17">
        <f>0.02</f>
        <v>0.02</v>
      </c>
      <c r="E225" s="27">
        <f>'Aantal zeedieren gedood'!D225*'Aantal zeedieren gedood'!C225</f>
        <v>0.002257907077</v>
      </c>
      <c r="F225" s="27">
        <f>'Aantal zeedieren gedood'!E225/'Aantal zeedieren gedood'!$E$227</f>
        <v>0.004791668948</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row>
    <row r="226" ht="12.75" customHeight="1">
      <c r="A226" s="8" t="s">
        <v>76</v>
      </c>
      <c r="B226" s="17">
        <f>Overzicht!C16</f>
        <v>0.006289194774</v>
      </c>
      <c r="C226" s="17" t="str">
        <f>Overzicht!G17</f>
        <v/>
      </c>
      <c r="D226" s="17">
        <f>'Aantal zeedieren gedood'!D225</f>
        <v>0.02</v>
      </c>
      <c r="E226" s="27">
        <f>'Aantal zeedieren gedood'!D226*'Aantal zeedieren gedood'!C226</f>
        <v>0</v>
      </c>
      <c r="F226" s="27">
        <f>'Aantal zeedieren gedood'!E226/'Aantal zeedieren gedood'!$E$227</f>
        <v>0</v>
      </c>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row>
    <row r="227" ht="12.75" customHeight="1">
      <c r="A227" t="s">
        <v>180</v>
      </c>
      <c r="B227" s="7"/>
      <c r="C227" s="7"/>
      <c r="D227" s="17"/>
      <c r="E227" s="27">
        <f>SUM('Aantal zeedieren gedood'!E223:E226)</f>
        <v>0.4712151656</v>
      </c>
      <c r="F227" s="2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row>
    <row r="228" ht="12.75" customHeight="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row>
    <row r="229" ht="12.75" customHeight="1">
      <c r="A229" s="8" t="s">
        <v>423</v>
      </c>
      <c r="B229" s="7">
        <f>('Aantal zeedieren gedood'!F225+'Aantal zeedieren gedood'!F226)*'Aantal zeedieren gedood'!E204</f>
        <v>129690.3744</v>
      </c>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row>
    <row r="230" ht="12.75" customHeight="1">
      <c r="B230" s="7"/>
      <c r="C230" s="7" t="s">
        <v>424</v>
      </c>
      <c r="D230" s="7" t="s">
        <v>425</v>
      </c>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row>
    <row r="231" ht="12.75" customHeight="1">
      <c r="A231" s="7"/>
      <c r="B231" s="8" t="s">
        <v>426</v>
      </c>
      <c r="C231" s="17">
        <f>'Aantal zeedieren gedood'!D218*'Aantal zeedieren gedood'!G206/'Aantal zeedieren gedood'!F218</f>
        <v>6223125171</v>
      </c>
      <c r="D231" s="17">
        <f>'Aantal zeedieren gedood'!D218*'Aantal zeedieren gedood'!B229/'Aantal zeedieren gedood'!F218</f>
        <v>3554745.731</v>
      </c>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row>
    <row r="232" ht="12.75" customHeight="1">
      <c r="A232" s="7"/>
      <c r="B232" s="8" t="s">
        <v>427</v>
      </c>
      <c r="C232" s="17">
        <f>'Aantal zeedieren gedood'!D217*'Aantal zeedieren gedood'!G206/'Aantal zeedieren gedood'!F217</f>
        <v>1764731561</v>
      </c>
      <c r="D232" s="17">
        <f>'Aantal zeedieren gedood'!D217*'Aantal zeedieren gedood'!B229/'Aantal zeedieren gedood'!F217</f>
        <v>1008042.071</v>
      </c>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row>
    <row r="233" ht="12.75" customHeight="1">
      <c r="A233" s="7"/>
      <c r="B233" s="8" t="s">
        <v>428</v>
      </c>
      <c r="C233" s="17">
        <f>'Aantal zeedieren gedood'!C231/'Aantal landdieren gedood'!C9</f>
        <v>386.5421695</v>
      </c>
      <c r="D233" s="17">
        <f>'Aantal zeedieren gedood'!D231/'Aantal landdieren gedood'!C6</f>
        <v>0.210080007</v>
      </c>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row>
    <row r="234" ht="12.75" customHeight="1">
      <c r="A234" s="7"/>
      <c r="B234" s="8" t="s">
        <v>429</v>
      </c>
      <c r="C234" s="17">
        <f>'Aantal zeedieren gedood'!C232/'Aantal landdieren gedood'!C9</f>
        <v>109.6142449</v>
      </c>
      <c r="D234" s="17">
        <f>'Aantal zeedieren gedood'!D232/'Aantal landdieren gedood'!C6</f>
        <v>0.05957373643</v>
      </c>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row>
    <row r="235" ht="12.75" customHeight="1">
      <c r="A235" s="7"/>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row>
    <row r="237" ht="35.25" customHeight="1">
      <c r="A237" t="s">
        <v>430</v>
      </c>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row>
    <row r="238" ht="12.75" customHeight="1">
      <c r="A238" s="11"/>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row>
    <row r="239" ht="45.75" customHeight="1">
      <c r="A239" s="1" t="s">
        <v>431</v>
      </c>
      <c r="B239" s="2"/>
      <c r="C239" s="2"/>
      <c r="D239" s="2"/>
      <c r="E239" s="2"/>
      <c r="F239" s="2"/>
      <c r="G239" s="2"/>
      <c r="H239" s="2"/>
      <c r="I239" s="2"/>
      <c r="J239" s="2"/>
      <c r="K239" s="3"/>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ht="102.0" customHeight="1">
      <c r="A241" s="1" t="s">
        <v>432</v>
      </c>
      <c r="B241" s="2"/>
      <c r="C241" s="2"/>
      <c r="D241" s="2"/>
      <c r="E241" s="2"/>
      <c r="F241" s="2"/>
      <c r="G241" s="2"/>
      <c r="H241" s="2"/>
      <c r="I241" s="2"/>
      <c r="J241" s="2"/>
      <c r="K241" s="3"/>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row>
    <row r="243" ht="12.75" customHeight="1">
      <c r="A243" s="8" t="s">
        <v>433</v>
      </c>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ht="12.75" customHeight="1">
      <c r="A244" s="7"/>
      <c r="B244" s="8" t="s">
        <v>434</v>
      </c>
      <c r="C244" s="8" t="s">
        <v>435</v>
      </c>
      <c r="D244" s="8" t="s">
        <v>436</v>
      </c>
      <c r="E244" s="8" t="s">
        <v>437</v>
      </c>
      <c r="F244" s="8" t="s">
        <v>438</v>
      </c>
      <c r="G244" s="8" t="s">
        <v>439</v>
      </c>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row>
    <row r="245" ht="12.75" customHeight="1">
      <c r="A245" s="8" t="s">
        <v>440</v>
      </c>
      <c r="B245" s="7">
        <v>0.4</v>
      </c>
      <c r="C245" s="27">
        <f>'Aantal zeedieren gedood'!G51</f>
        <v>0.002</v>
      </c>
      <c r="D245" s="27">
        <f>'Aantal zeedieren gedood'!B245/'Aantal zeedieren gedood'!C245</f>
        <v>200</v>
      </c>
      <c r="E245" s="27">
        <v>1.0</v>
      </c>
      <c r="F245" s="27">
        <f>'Aantal zeedieren gedood'!E245*'Aantal zeedieren gedood'!D245</f>
        <v>200</v>
      </c>
      <c r="G245" s="2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ht="12.75" customHeight="1">
      <c r="A246" s="8" t="s">
        <v>441</v>
      </c>
      <c r="B246" s="7">
        <v>0.38</v>
      </c>
      <c r="C246" s="27">
        <f>0.8*'Aantal zeedieren gedood'!C245</f>
        <v>0.0016</v>
      </c>
      <c r="D246" s="27">
        <f>'Aantal zeedieren gedood'!B246/'Aantal zeedieren gedood'!C246</f>
        <v>237.5</v>
      </c>
      <c r="E246" s="27">
        <f>1-(0.77+0.8)/2</f>
        <v>0.215</v>
      </c>
      <c r="F246" s="27">
        <f>'Aantal zeedieren gedood'!E246*'Aantal zeedieren gedood'!D246</f>
        <v>51.0625</v>
      </c>
      <c r="G246" s="27">
        <f>'Aantal zeedieren gedood'!F246/'Aantal zeedieren gedood'!$F$245</f>
        <v>0.2553125</v>
      </c>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ht="12.75" customHeight="1">
      <c r="A247" s="8" t="s">
        <v>442</v>
      </c>
      <c r="B247" s="7">
        <v>0.02</v>
      </c>
      <c r="C247" s="27">
        <f>0.2*'Aantal zeedieren gedood'!G22</f>
        <v>0.22</v>
      </c>
      <c r="D247" s="27">
        <f>'Aantal zeedieren gedood'!B247/'Aantal zeedieren gedood'!C247</f>
        <v>0.09090909091</v>
      </c>
      <c r="E247" s="27">
        <f>1-(0.14+0.19)/2</f>
        <v>0.835</v>
      </c>
      <c r="F247" s="27">
        <f>'Aantal zeedieren gedood'!E247*'Aantal zeedieren gedood'!D247</f>
        <v>0.07590909091</v>
      </c>
      <c r="G247" s="27">
        <f>'Aantal zeedieren gedood'!F247/'Aantal zeedieren gedood'!$F$245</f>
        <v>0.0003795454545</v>
      </c>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row>
    <row r="248" ht="12.75" customHeight="1">
      <c r="A248" s="8" t="s">
        <v>443</v>
      </c>
      <c r="B248" s="7">
        <v>0.09</v>
      </c>
      <c r="C248" s="27">
        <f>AVERAGE(0.084,0.1267,0.239,0.886,0.084,0.2528)</f>
        <v>0.27875</v>
      </c>
      <c r="D248" s="27">
        <f>'Aantal zeedieren gedood'!B248/'Aantal zeedieren gedood'!C248</f>
        <v>0.3228699552</v>
      </c>
      <c r="E248" s="27">
        <v>0.95</v>
      </c>
      <c r="F248" s="27">
        <f>'Aantal zeedieren gedood'!E248*'Aantal zeedieren gedood'!D248</f>
        <v>0.3067264574</v>
      </c>
      <c r="G248" s="27">
        <f>'Aantal zeedieren gedood'!F248/'Aantal zeedieren gedood'!$F$245</f>
        <v>0.001533632287</v>
      </c>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ht="12.75" customHeight="1">
      <c r="A249" s="8" t="s">
        <v>444</v>
      </c>
      <c r="B249" s="7">
        <v>0.11</v>
      </c>
      <c r="C249" s="27">
        <f>AVERAGE(0.05 , (57/90)*0.05, 0.08)</f>
        <v>0.05388888889</v>
      </c>
      <c r="D249" s="27">
        <f>'Aantal zeedieren gedood'!B249/'Aantal zeedieren gedood'!C249</f>
        <v>2.041237113</v>
      </c>
      <c r="E249" s="27">
        <v>0.1</v>
      </c>
      <c r="F249" s="27">
        <f>'Aantal zeedieren gedood'!E249*'Aantal zeedieren gedood'!D249</f>
        <v>0.2041237113</v>
      </c>
      <c r="G249" s="27">
        <f>'Aantal zeedieren gedood'!F249/'Aantal zeedieren gedood'!$F$245</f>
        <v>0.001020618557</v>
      </c>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ht="12.75" customHeight="1">
      <c r="A251" s="8" t="s">
        <v>445</v>
      </c>
      <c r="B251" s="17">
        <f>('Aantal zeedieren gedood'!G246 + 'Aantal zeedieren gedood'!G249)*'Aantal zeedieren gedood'!F129</f>
        <v>70.8138468</v>
      </c>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ht="12.75" customHeight="1">
      <c r="A252" s="8" t="s">
        <v>446</v>
      </c>
      <c r="B252" s="17">
        <f>('Aantal zeedieren gedood'!G246+'Aantal zeedieren gedood'!G249)*'Aantal zeedieren gedood'!C234</f>
        <v>28.09776122</v>
      </c>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row>
    <row r="253" ht="12.75" customHeight="1">
      <c r="A253" s="8" t="s">
        <v>447</v>
      </c>
      <c r="B253" s="17">
        <f>SUM('Aantal zeedieren gedood'!G247:G248)*'Aantal zeedieren gedood'!F117</f>
        <v>0.01363056847</v>
      </c>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row>
    <row r="254" ht="12.75" customHeight="1">
      <c r="A254" s="8" t="s">
        <v>448</v>
      </c>
      <c r="B254" s="17">
        <f>SUM('Aantal zeedieren gedood'!G247:G248)*'Aantal zeedieren gedood'!C234</f>
        <v>0.2097115334</v>
      </c>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row>
    <row r="256" ht="147.75" customHeight="1">
      <c r="A256" t="s">
        <v>449</v>
      </c>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row>
    <row r="257" ht="12.75" customHeight="1">
      <c r="A257" s="7"/>
      <c r="B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row>
    <row r="258" ht="35.25" customHeight="1">
      <c r="A258" s="1" t="s">
        <v>450</v>
      </c>
      <c r="B258" s="2"/>
      <c r="C258" s="2"/>
      <c r="D258" s="2"/>
      <c r="E258" s="2"/>
      <c r="F258" s="2"/>
      <c r="G258" s="2"/>
      <c r="H258" s="2"/>
      <c r="I258" s="2"/>
      <c r="J258" s="2"/>
      <c r="K258" s="3"/>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row>
    <row r="259" ht="12.75" customHeight="1">
      <c r="A259" s="4"/>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row>
    <row r="260" ht="12.75" customHeight="1">
      <c r="A260" s="7"/>
      <c r="B260" s="8" t="s">
        <v>451</v>
      </c>
      <c r="C260" s="8" t="s">
        <v>452</v>
      </c>
      <c r="D260" s="8" t="s">
        <v>453</v>
      </c>
      <c r="E260" s="8" t="s">
        <v>454</v>
      </c>
      <c r="F260" s="8" t="s">
        <v>455</v>
      </c>
      <c r="G260" s="8" t="s">
        <v>456</v>
      </c>
      <c r="H260" s="8" t="s">
        <v>457</v>
      </c>
      <c r="I260" s="8" t="s">
        <v>458</v>
      </c>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row>
    <row r="261" ht="12.75" customHeight="1">
      <c r="A261" s="7" t="s">
        <v>459</v>
      </c>
      <c r="B261" s="17">
        <v>30.798</v>
      </c>
      <c r="C261" s="17">
        <v>29.321</v>
      </c>
      <c r="D261" s="17">
        <f>(1/0.8)*'Aantal zeedieren gedood'!C261</f>
        <v>36.65125</v>
      </c>
      <c r="E261" s="17">
        <f>'Aantal zeedieren gedood'!D261/'Aantal zeedieren gedood'!B261</f>
        <v>1.190052926</v>
      </c>
      <c r="F261" s="17">
        <f>'Aantal zeedieren gedood'!L22/'Aantal zeedieren gedood'!$D$102</f>
        <v>0.127882339</v>
      </c>
      <c r="G261" s="17">
        <f>'Aantal zeedieren gedood'!F261*'Aantal zeedieren gedood'!E261</f>
        <v>0.1521867516</v>
      </c>
      <c r="H261" s="17">
        <f>(1-0.04 + 1-0.28)/2</f>
        <v>0.84</v>
      </c>
      <c r="I261" s="17">
        <f>'Aantal zeedieren gedood'!G261*'Aantal zeedieren gedood'!H261</f>
        <v>0.1278368714</v>
      </c>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row>
    <row r="262" ht="12.75" customHeight="1">
      <c r="A262" s="7" t="s">
        <v>460</v>
      </c>
      <c r="B262" s="17">
        <v>9.19</v>
      </c>
      <c r="C262" s="17">
        <f>1.62</f>
        <v>1.62</v>
      </c>
      <c r="D262" s="17">
        <f>(1/0.8)*'Aantal zeedieren gedood'!C262</f>
        <v>2.025</v>
      </c>
      <c r="E262" s="17">
        <f>'Aantal zeedieren gedood'!D262/'Aantal zeedieren gedood'!B262</f>
        <v>0.2203482046</v>
      </c>
      <c r="F262" s="17">
        <f>'Aantal zeedieren gedood'!L20/'Aantal zeedieren gedood'!$D$102</f>
        <v>0.1881245947</v>
      </c>
      <c r="G262" s="17">
        <f>'Aantal zeedieren gedood'!F262*'Aantal zeedieren gedood'!E262</f>
        <v>0.04145291668</v>
      </c>
      <c r="H262" s="17">
        <f>(1-0.04+ 1-0.48)/2</f>
        <v>0.74</v>
      </c>
      <c r="I262" s="17">
        <f>'Aantal zeedieren gedood'!G262*'Aantal zeedieren gedood'!H262</f>
        <v>0.03067515834</v>
      </c>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row>
    <row r="263" ht="12.75" customHeight="1">
      <c r="A263" s="7" t="s">
        <v>461</v>
      </c>
      <c r="B263" s="17">
        <f>5.535</f>
        <v>5.535</v>
      </c>
      <c r="C263" s="17">
        <f>7.188</f>
        <v>7.188</v>
      </c>
      <c r="D263" s="17">
        <f>(1/0.8)*'Aantal zeedieren gedood'!C263</f>
        <v>8.985</v>
      </c>
      <c r="E263" s="17">
        <f>'Aantal zeedieren gedood'!D263/'Aantal zeedieren gedood'!B263</f>
        <v>1.623306233</v>
      </c>
      <c r="F263" s="17">
        <f>'Aantal zeedieren gedood'!F117-'Aantal zeedieren gedood'!F262-'Aantal zeedieren gedood'!F261</f>
        <v>6.808562922</v>
      </c>
      <c r="G263" s="17">
        <f>'Aantal zeedieren gedood'!F263*'Aantal zeedieren gedood'!E263</f>
        <v>11.05238263</v>
      </c>
      <c r="H263" s="17">
        <f>AVERAGE('Aantal zeedieren gedood'!H261:H262)</f>
        <v>0.79</v>
      </c>
      <c r="I263" s="17">
        <f>'Aantal zeedieren gedood'!G263*'Aantal zeedieren gedood'!H263</f>
        <v>8.731382277</v>
      </c>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row>
    <row r="264" ht="12.75" customHeight="1">
      <c r="A264" s="7" t="s">
        <v>180</v>
      </c>
      <c r="B264" s="17"/>
      <c r="C264" s="17"/>
      <c r="D264" s="17"/>
      <c r="E264" s="17"/>
      <c r="F264" s="17"/>
      <c r="G264" s="17"/>
      <c r="H264" s="17"/>
      <c r="I264" s="17">
        <f>SUM('Aantal zeedieren gedood'!I263)</f>
        <v>8.731382277</v>
      </c>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row>
    <row r="265" ht="12.75" customHeight="1">
      <c r="A265" s="8"/>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row>
    <row r="266" ht="23.25" customHeight="1">
      <c r="A266" s="1" t="s">
        <v>462</v>
      </c>
      <c r="B266" s="2"/>
      <c r="C266" s="2"/>
      <c r="D266" s="2"/>
      <c r="E266" s="2"/>
      <c r="F266" s="2"/>
      <c r="G266" s="2"/>
      <c r="H266" s="2"/>
      <c r="I266" s="2"/>
      <c r="J266" s="2"/>
      <c r="K266" s="3"/>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row>
    <row r="267" ht="12.75" customHeight="1">
      <c r="A267" s="8" t="s">
        <v>463</v>
      </c>
      <c r="B267" s="17">
        <f>'Aantal zeedieren gedood'!E263*'Aantal zeedieren gedood'!C233</f>
        <v>627.4763131</v>
      </c>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row>
    <row r="270" ht="12.75" customHeight="1">
      <c r="A270" t="s">
        <v>464</v>
      </c>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row>
    <row r="271" ht="12.75" customHeight="1">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ht="12.75" customHeight="1">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row>
    <row r="273" ht="12.75" customHeight="1">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row>
    <row r="274" ht="12.75" customHeight="1">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ht="12.75" customHeight="1">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row>
    <row r="276" ht="12.75" customHeight="1">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row>
    <row r="277" ht="12.75" customHeight="1">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row>
    <row r="279" ht="12.75" customHeight="1">
      <c r="A279" s="8" t="s">
        <v>465</v>
      </c>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row>
    <row r="280" ht="12.75" customHeight="1">
      <c r="A280" s="7"/>
      <c r="B280" s="7" t="s">
        <v>419</v>
      </c>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row>
    <row r="281" ht="12.75" customHeight="1">
      <c r="A281" s="8" t="s">
        <v>466</v>
      </c>
      <c r="B281" s="17">
        <f>'Aantal zeedieren gedood'!F117</f>
        <v>7.124569856</v>
      </c>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row>
    <row r="282" ht="12.75" customHeight="1">
      <c r="A282" s="8" t="s">
        <v>467</v>
      </c>
      <c r="B282" s="17">
        <f>'Aantal zeedieren gedood'!F113</f>
        <v>343.4383807</v>
      </c>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row>
    <row r="283" ht="12.75" customHeight="1">
      <c r="A283" s="8" t="s">
        <v>468</v>
      </c>
      <c r="B283" s="17">
        <f>'Aantal zeedieren gedood'!C233</f>
        <v>386.5421695</v>
      </c>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row>
    <row r="284" ht="47.25" customHeight="1">
      <c r="A284" s="8" t="s">
        <v>469</v>
      </c>
      <c r="B284" s="17">
        <f>'Aantal zeedieren gedood'!C234</f>
        <v>109.6142449</v>
      </c>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row>
    <row r="285" ht="12.75" customHeight="1">
      <c r="A285" s="8" t="s">
        <v>470</v>
      </c>
      <c r="B285" s="17">
        <f>'Aantal zeedieren gedood'!B253+'Aantal zeedieren gedood'!I264</f>
        <v>8.745012846</v>
      </c>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row>
    <row r="286" ht="12.75" customHeight="1">
      <c r="A286" s="8" t="s">
        <v>471</v>
      </c>
      <c r="B286" s="17">
        <f>'Aantal zeedieren gedood'!B251+'Aantal zeedieren gedood'!B252</f>
        <v>98.91160802</v>
      </c>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row>
    <row r="287" ht="12.75" customHeight="1">
      <c r="A287" s="8"/>
      <c r="B287" s="1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row>
    <row r="288" ht="12.75" customHeight="1">
      <c r="A288" s="8" t="s">
        <v>172</v>
      </c>
      <c r="B288" s="17">
        <f>'Aantal zeedieren gedood'!B281+'Aantal zeedieren gedood'!B283+'Aantal zeedieren gedood'!B285</f>
        <v>402.4117522</v>
      </c>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row>
    <row r="289" ht="12.75" customHeight="1">
      <c r="A289" s="8" t="s">
        <v>472</v>
      </c>
      <c r="B289" s="17">
        <f>'Aantal zeedieren gedood'!B282+'Aantal zeedieren gedood'!B284+'Aantal zeedieren gedood'!B286</f>
        <v>551.9642336</v>
      </c>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row>
  </sheetData>
  <mergeCells count="128">
    <mergeCell ref="A266:K266"/>
    <mergeCell ref="A256:K256"/>
    <mergeCell ref="A258:K258"/>
    <mergeCell ref="A190:K190"/>
    <mergeCell ref="A199:K199"/>
    <mergeCell ref="A208:K208"/>
    <mergeCell ref="A209:K209"/>
    <mergeCell ref="B165:N165"/>
    <mergeCell ref="A212:K213"/>
    <mergeCell ref="A220:K220"/>
    <mergeCell ref="A187:K187"/>
    <mergeCell ref="A188:K188"/>
    <mergeCell ref="A237:K237"/>
    <mergeCell ref="A270:K277"/>
    <mergeCell ref="A210:K210"/>
    <mergeCell ref="D76:E76"/>
    <mergeCell ref="D69:E69"/>
    <mergeCell ref="D70:E70"/>
    <mergeCell ref="D71:E71"/>
    <mergeCell ref="D75:E75"/>
    <mergeCell ref="D83:E83"/>
    <mergeCell ref="D84:E84"/>
    <mergeCell ref="D56:E56"/>
    <mergeCell ref="D57:E57"/>
    <mergeCell ref="D43:E43"/>
    <mergeCell ref="D45:E45"/>
    <mergeCell ref="D47:E47"/>
    <mergeCell ref="D49:E49"/>
    <mergeCell ref="D50:E50"/>
    <mergeCell ref="D51:E51"/>
    <mergeCell ref="D85:E85"/>
    <mergeCell ref="D55:E55"/>
    <mergeCell ref="D39:E39"/>
    <mergeCell ref="D41:E41"/>
    <mergeCell ref="D58:E58"/>
    <mergeCell ref="D66:E66"/>
    <mergeCell ref="D40:E40"/>
    <mergeCell ref="B93:N93"/>
    <mergeCell ref="B95:N95"/>
    <mergeCell ref="B94:N94"/>
    <mergeCell ref="A134:K134"/>
    <mergeCell ref="A126:K126"/>
    <mergeCell ref="D72:E72"/>
    <mergeCell ref="A97:K97"/>
    <mergeCell ref="A104:K104"/>
    <mergeCell ref="A106:K108"/>
    <mergeCell ref="B92:N92"/>
    <mergeCell ref="B139:N139"/>
    <mergeCell ref="B141:N141"/>
    <mergeCell ref="B140:N140"/>
    <mergeCell ref="B149:N149"/>
    <mergeCell ref="B150:N150"/>
    <mergeCell ref="A135:K135"/>
    <mergeCell ref="B142:N142"/>
    <mergeCell ref="B146:N146"/>
    <mergeCell ref="B145:N145"/>
    <mergeCell ref="B148:N148"/>
    <mergeCell ref="B144:N144"/>
    <mergeCell ref="B147:N147"/>
    <mergeCell ref="B157:N157"/>
    <mergeCell ref="B154:N154"/>
    <mergeCell ref="B155:N155"/>
    <mergeCell ref="B153:N153"/>
    <mergeCell ref="B152:N152"/>
    <mergeCell ref="B132:N132"/>
    <mergeCell ref="B151:N151"/>
    <mergeCell ref="B143:N143"/>
    <mergeCell ref="B158:N158"/>
    <mergeCell ref="B160:N160"/>
    <mergeCell ref="B161:N161"/>
    <mergeCell ref="B162:N162"/>
    <mergeCell ref="B163:N163"/>
    <mergeCell ref="B164:N164"/>
    <mergeCell ref="B159:N159"/>
    <mergeCell ref="D53:E53"/>
    <mergeCell ref="D52:E52"/>
    <mergeCell ref="A239:K239"/>
    <mergeCell ref="A241:K241"/>
    <mergeCell ref="A170:K170"/>
    <mergeCell ref="A171:K171"/>
    <mergeCell ref="D44:E44"/>
    <mergeCell ref="D46:E46"/>
    <mergeCell ref="D73:E73"/>
    <mergeCell ref="D88:E88"/>
    <mergeCell ref="D86:E86"/>
    <mergeCell ref="D87:E87"/>
    <mergeCell ref="A137:K137"/>
    <mergeCell ref="B138:N138"/>
    <mergeCell ref="D16:E16"/>
    <mergeCell ref="D19:E19"/>
    <mergeCell ref="A1:K1"/>
    <mergeCell ref="A3:K3"/>
    <mergeCell ref="A5:K5"/>
    <mergeCell ref="D17:E17"/>
    <mergeCell ref="D18:E18"/>
    <mergeCell ref="D26:E26"/>
    <mergeCell ref="D25:E25"/>
    <mergeCell ref="D24:E24"/>
    <mergeCell ref="D15:E15"/>
    <mergeCell ref="D13:E13"/>
    <mergeCell ref="D10:E10"/>
    <mergeCell ref="D11:E11"/>
    <mergeCell ref="D63:E63"/>
    <mergeCell ref="D65:E65"/>
    <mergeCell ref="D64:E64"/>
    <mergeCell ref="D61:E61"/>
    <mergeCell ref="D60:E60"/>
    <mergeCell ref="D80:E80"/>
    <mergeCell ref="D78:E78"/>
    <mergeCell ref="D79:E79"/>
    <mergeCell ref="D81:E81"/>
    <mergeCell ref="D82:E82"/>
    <mergeCell ref="D67:E67"/>
    <mergeCell ref="D68:E68"/>
    <mergeCell ref="D23:E23"/>
    <mergeCell ref="D20:E20"/>
    <mergeCell ref="D21:E21"/>
    <mergeCell ref="D22:E22"/>
    <mergeCell ref="D32:E32"/>
    <mergeCell ref="D33:E33"/>
    <mergeCell ref="D38:E38"/>
    <mergeCell ref="D31:E31"/>
    <mergeCell ref="D36:E36"/>
    <mergeCell ref="D35:E35"/>
    <mergeCell ref="D30:E30"/>
    <mergeCell ref="D28:E28"/>
    <mergeCell ref="D29:E29"/>
    <mergeCell ref="D34:E34"/>
  </mergeCells>
  <hyperlinks>
    <hyperlink r:id="rId1" ref="A104"/>
    <hyperlink r:id="rId2" location="Wild_versus_farmed" ref="B162"/>
    <hyperlink r:id="rId3" ref="B163"/>
    <hyperlink r:id="rId4" location="Wild_versus_farmed" ref="B164"/>
    <hyperlink r:id="rId5" ref="B165"/>
    <hyperlink r:id="rId6" ref="A166"/>
    <hyperlink r:id="rId7" ref="A167"/>
    <hyperlink r:id="rId8" ref="A168"/>
    <hyperlink r:id="rId9" ref="A187"/>
    <hyperlink r:id="rId10" ref="A188"/>
    <hyperlink r:id="rId11" ref="A209"/>
    <hyperlink r:id="rId12" ref="A210"/>
  </hyperlinks>
  <drawing r:id="rId1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5.0"/>
    <col customWidth="1" min="2" max="11" width="10.86"/>
    <col customWidth="1" min="12" max="26" width="8.71"/>
  </cols>
  <sheetData>
    <row r="1" ht="12.75" customHeight="1">
      <c r="A1" s="36" t="s">
        <v>158</v>
      </c>
      <c r="B1" s="37"/>
      <c r="C1" s="37"/>
      <c r="D1" s="37"/>
      <c r="E1" s="37"/>
      <c r="F1" s="37"/>
      <c r="G1" s="37"/>
      <c r="H1" s="37"/>
      <c r="I1" s="36"/>
      <c r="J1" s="36"/>
      <c r="K1" s="36"/>
    </row>
    <row r="2" ht="12.75" customHeight="1">
      <c r="B2" s="8"/>
      <c r="C2" s="8"/>
      <c r="D2" s="8"/>
      <c r="E2" s="8"/>
      <c r="F2" s="8"/>
      <c r="G2" s="8"/>
      <c r="H2" s="8"/>
    </row>
    <row r="3" ht="12.75" customHeight="1">
      <c r="B3" s="8" t="s">
        <v>162</v>
      </c>
      <c r="C3" s="8" t="s">
        <v>163</v>
      </c>
      <c r="D3" s="8" t="s">
        <v>164</v>
      </c>
      <c r="E3" s="8" t="s">
        <v>165</v>
      </c>
      <c r="F3" s="8"/>
      <c r="G3" s="8"/>
      <c r="H3" s="8"/>
    </row>
    <row r="4" ht="12.75" customHeight="1">
      <c r="A4" t="s">
        <v>38</v>
      </c>
      <c r="B4" s="17">
        <v>0.0298</v>
      </c>
      <c r="C4" s="17">
        <f>Overzicht!C13/(1-Uitval!B4)</f>
        <v>15.1272375</v>
      </c>
      <c r="D4" s="17">
        <f>Uitval!C4-Overzicht!C13</f>
        <v>0.4507916776</v>
      </c>
      <c r="E4" s="17">
        <f>Uitval!D4*Overzicht!$B$5</f>
        <v>34.96791043</v>
      </c>
      <c r="F4" s="8"/>
      <c r="G4" s="8"/>
      <c r="H4" s="8"/>
    </row>
    <row r="5" ht="12.75" customHeight="1">
      <c r="A5" t="s">
        <v>166</v>
      </c>
      <c r="B5" s="17">
        <v>0.08</v>
      </c>
      <c r="C5" s="17">
        <f>Overzicht!C15/(1-Uitval!B5)</f>
        <v>0.6412685275</v>
      </c>
      <c r="D5" s="17">
        <f>Uitval!C5-Overzicht!C15</f>
        <v>0.0513014822</v>
      </c>
      <c r="E5" s="17"/>
    </row>
    <row r="6" ht="12.75" customHeight="1">
      <c r="A6" t="s">
        <v>167</v>
      </c>
      <c r="B6" s="17">
        <v>0.15</v>
      </c>
      <c r="C6" s="17"/>
      <c r="D6" s="17"/>
      <c r="E6" s="17"/>
    </row>
    <row r="7" ht="12.75" customHeight="1">
      <c r="A7" t="s">
        <v>168</v>
      </c>
      <c r="B7" s="17">
        <v>0.399</v>
      </c>
      <c r="C7" s="17"/>
      <c r="D7" s="17"/>
      <c r="E7" s="17"/>
    </row>
    <row r="8" ht="12.75" customHeight="1">
      <c r="A8" t="s">
        <v>169</v>
      </c>
      <c r="B8" s="17">
        <v>0.3</v>
      </c>
      <c r="C8" s="17"/>
      <c r="D8" s="17"/>
      <c r="E8" s="17"/>
    </row>
    <row r="9" ht="12.75" customHeight="1">
      <c r="A9" t="s">
        <v>171</v>
      </c>
      <c r="B9" s="17">
        <f>(100-86.3)/100</f>
        <v>0.137</v>
      </c>
      <c r="C9" s="17"/>
      <c r="D9" s="17"/>
      <c r="E9" s="17"/>
    </row>
    <row r="10" ht="12.75" customHeight="1">
      <c r="A10" t="s">
        <v>172</v>
      </c>
      <c r="B10" s="17">
        <f>AVERAGE(Uitval!B6:B9)</f>
        <v>0.2465</v>
      </c>
      <c r="C10" s="17">
        <f>Overzicht!C46/(1-Uitval!B10)</f>
        <v>2.281186916</v>
      </c>
      <c r="D10" s="17">
        <f>Uitval!C10-Overzicht!C46</f>
        <v>0.5623125748</v>
      </c>
      <c r="E10" s="17">
        <f>Uitval!D10*Overzicht!$B$5</f>
        <v>43.61858643</v>
      </c>
    </row>
    <row r="11" ht="12.75" customHeight="1">
      <c r="A11" t="s">
        <v>24</v>
      </c>
      <c r="B11" s="17">
        <f>(0.169+0.087)/2</f>
        <v>0.128</v>
      </c>
      <c r="C11" s="17">
        <f>Overzicht!C10/(1-Uitval!B11)</f>
        <v>0.4739168128</v>
      </c>
      <c r="D11" s="17">
        <f>Uitval!C11-Overzicht!C10</f>
        <v>0.06066135204</v>
      </c>
      <c r="E11" s="17">
        <f>Uitval!D11*Overzicht!$B$5</f>
        <v>4.705501078</v>
      </c>
    </row>
    <row r="12" ht="12.75" customHeight="1">
      <c r="A12" t="s">
        <v>177</v>
      </c>
      <c r="B12" s="17">
        <v>0.13</v>
      </c>
      <c r="C12" s="17">
        <f>Overzicht!C21/(1-Uitval!B12)</f>
        <v>0.01020964346</v>
      </c>
      <c r="D12" s="17">
        <f>Uitval!C12-Overzicht!C21</f>
        <v>0.001327253649</v>
      </c>
      <c r="E12" s="17">
        <f>Uitval!D12*Overzicht!$B$5</f>
        <v>0.1029550656</v>
      </c>
    </row>
    <row r="13" ht="12.75" customHeight="1">
      <c r="A13" t="s">
        <v>179</v>
      </c>
      <c r="B13" s="17">
        <v>0.5</v>
      </c>
      <c r="C13" s="17">
        <f>Overzicht!C49/(1-Uitval!B13)</f>
        <v>134.3625393</v>
      </c>
      <c r="D13" s="17">
        <f>Uitval!C13-Overzicht!C49</f>
        <v>67.18126965</v>
      </c>
      <c r="E13" s="17">
        <f>Uitval!D13*Overzicht!$B$5</f>
        <v>5211.251087</v>
      </c>
    </row>
    <row r="14" ht="12.75" customHeight="1">
      <c r="B14" s="17"/>
      <c r="C14" s="17"/>
      <c r="D14" s="17"/>
      <c r="E14" s="17"/>
    </row>
    <row r="15" ht="12.75" customHeight="1">
      <c r="A15" t="s">
        <v>180</v>
      </c>
      <c r="B15" s="17"/>
      <c r="C15" s="17"/>
      <c r="D15" s="17">
        <f>SUM(Uitval!D4:D13)</f>
        <v>68.30766399</v>
      </c>
      <c r="E15" s="17">
        <f>SUM(Uitval!E4:E13)</f>
        <v>5294.64604</v>
      </c>
    </row>
    <row r="16" ht="12.75" customHeight="1"/>
    <row r="17" ht="12.75" customHeight="1">
      <c r="A17" t="s">
        <v>182</v>
      </c>
    </row>
    <row r="18" ht="12.75" customHeight="1"/>
    <row r="19" ht="12.75" customHeight="1"/>
    <row r="20" ht="12.75" customHeight="1"/>
    <row r="21" ht="12.75" customHeight="1"/>
    <row r="22" ht="27.0" customHeight="1"/>
    <row r="23" ht="27.0" customHeight="1"/>
    <row r="24" ht="27.0"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7:K2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4.29"/>
    <col customWidth="1" min="2" max="2" width="10.86"/>
    <col customWidth="1" min="3" max="3" width="13.71"/>
    <col customWidth="1" min="4" max="11" width="10.86"/>
    <col customWidth="1" min="12" max="26" width="8.71"/>
  </cols>
  <sheetData>
    <row r="1" ht="12.75" customHeight="1">
      <c r="A1" s="39" t="s">
        <v>187</v>
      </c>
      <c r="B1" s="2"/>
      <c r="C1" s="2"/>
      <c r="D1" s="2"/>
      <c r="E1" s="2"/>
      <c r="F1" s="2"/>
      <c r="G1" s="2"/>
      <c r="H1" s="2"/>
      <c r="I1" s="2"/>
      <c r="J1" s="2"/>
      <c r="K1" s="3"/>
      <c r="L1" s="7"/>
      <c r="M1" s="7"/>
      <c r="N1" s="7"/>
      <c r="O1" s="7"/>
      <c r="P1" s="7"/>
      <c r="Q1" s="7"/>
      <c r="R1" s="7"/>
      <c r="S1" s="7"/>
      <c r="T1" s="7"/>
      <c r="U1" s="7"/>
      <c r="V1" s="7"/>
      <c r="W1" s="7"/>
      <c r="X1" s="7"/>
      <c r="Y1" s="7"/>
      <c r="Z1" s="7"/>
    </row>
    <row r="2" ht="12.75" customHeight="1">
      <c r="B2" s="7"/>
      <c r="C2" s="7"/>
      <c r="D2" s="7"/>
      <c r="E2" s="7"/>
      <c r="F2" s="7"/>
      <c r="G2" s="7"/>
      <c r="H2" s="7"/>
      <c r="I2" s="7"/>
      <c r="J2" s="7"/>
      <c r="K2" s="7"/>
      <c r="L2" s="7"/>
      <c r="M2" s="7"/>
      <c r="N2" s="7"/>
      <c r="O2" s="7"/>
      <c r="P2" s="7"/>
      <c r="Q2" s="7"/>
      <c r="R2" s="7"/>
      <c r="S2" s="7"/>
      <c r="T2" s="7"/>
      <c r="U2" s="7"/>
      <c r="V2" s="7"/>
      <c r="W2" s="7"/>
      <c r="X2" s="7"/>
      <c r="Y2" s="7"/>
      <c r="Z2" s="7"/>
    </row>
    <row r="3" ht="12.75" customHeight="1">
      <c r="A3" s="39" t="s">
        <v>188</v>
      </c>
      <c r="B3" s="2"/>
      <c r="C3" s="2"/>
      <c r="D3" s="2"/>
      <c r="E3" s="2"/>
      <c r="F3" s="2"/>
      <c r="G3" s="2"/>
      <c r="H3" s="2"/>
      <c r="I3" s="2"/>
      <c r="J3" s="2"/>
      <c r="K3" s="3"/>
      <c r="L3" s="7"/>
      <c r="M3" s="7"/>
      <c r="N3" s="7"/>
      <c r="O3" s="7"/>
      <c r="P3" s="7"/>
      <c r="Q3" s="7"/>
      <c r="R3" s="7"/>
      <c r="S3" s="7"/>
      <c r="T3" s="7"/>
      <c r="U3" s="7"/>
      <c r="V3" s="7"/>
      <c r="W3" s="7"/>
      <c r="X3" s="7"/>
      <c r="Y3" s="7"/>
      <c r="Z3" s="7"/>
    </row>
    <row r="4" ht="12.75" customHeight="1">
      <c r="A4" s="8" t="s">
        <v>189</v>
      </c>
      <c r="B4" s="8" t="s">
        <v>190</v>
      </c>
      <c r="C4" s="8" t="s">
        <v>191</v>
      </c>
      <c r="D4" s="8" t="s">
        <v>192</v>
      </c>
      <c r="E4" s="7"/>
      <c r="F4" s="7"/>
      <c r="G4" s="7"/>
      <c r="H4" s="7"/>
      <c r="I4" s="7"/>
      <c r="J4" s="7"/>
      <c r="K4" s="7"/>
      <c r="L4" s="7"/>
      <c r="M4" s="7"/>
      <c r="N4" s="7"/>
      <c r="O4" s="7"/>
      <c r="P4" s="7"/>
      <c r="Q4" s="7"/>
      <c r="R4" s="7"/>
      <c r="S4" s="7"/>
      <c r="T4" s="7"/>
      <c r="U4" s="7"/>
      <c r="V4" s="7"/>
      <c r="W4" s="7"/>
      <c r="X4" s="7"/>
      <c r="Y4" s="7"/>
      <c r="Z4" s="7"/>
    </row>
    <row r="5" ht="12.75" customHeight="1">
      <c r="A5" s="8" t="s">
        <v>32</v>
      </c>
      <c r="B5" s="17">
        <f>(0.55+0.6)/2</f>
        <v>0.575</v>
      </c>
      <c r="C5" s="17">
        <f>'Aantal landdieren gedood'!D19*'Dieren per kg product'!B5</f>
        <v>178.9264706</v>
      </c>
      <c r="D5" s="17">
        <f>1/'Dieren per kg product'!C5</f>
        <v>0.005588887976</v>
      </c>
      <c r="E5" s="7"/>
      <c r="F5" s="7"/>
      <c r="G5" s="7"/>
      <c r="H5" s="7"/>
      <c r="I5" s="7"/>
      <c r="J5" s="7"/>
      <c r="K5" s="7"/>
      <c r="L5" s="7"/>
      <c r="M5" s="7"/>
      <c r="N5" s="7"/>
      <c r="O5" s="7"/>
      <c r="P5" s="7"/>
      <c r="Q5" s="7"/>
      <c r="R5" s="7"/>
      <c r="S5" s="7"/>
      <c r="T5" s="7"/>
      <c r="U5" s="7"/>
      <c r="V5" s="7"/>
      <c r="W5" s="7"/>
      <c r="X5" s="7"/>
      <c r="Y5" s="7"/>
      <c r="Z5" s="7"/>
    </row>
    <row r="6" ht="12.75" customHeight="1">
      <c r="A6" s="8" t="s">
        <v>35</v>
      </c>
      <c r="B6" s="17">
        <f>'Dieren per kg product'!B8</f>
        <v>0.725</v>
      </c>
      <c r="C6" s="17">
        <f>'Aantal landdieren gedood'!D20*'Dieren per kg product'!B6</f>
        <v>111.522807</v>
      </c>
      <c r="D6" s="17">
        <f>1/'Dieren per kg product'!C6</f>
        <v>0.008966775736</v>
      </c>
      <c r="E6" s="7"/>
      <c r="F6" s="7"/>
      <c r="G6" s="7"/>
      <c r="H6" s="7"/>
      <c r="I6" s="7"/>
      <c r="J6" s="7"/>
      <c r="K6" s="7"/>
      <c r="L6" s="7"/>
      <c r="M6" s="7"/>
      <c r="N6" s="7"/>
      <c r="O6" s="7"/>
      <c r="P6" s="7"/>
      <c r="Q6" s="7"/>
      <c r="R6" s="7"/>
      <c r="S6" s="7"/>
      <c r="T6" s="7"/>
      <c r="U6" s="7"/>
      <c r="V6" s="7"/>
      <c r="W6" s="7"/>
      <c r="X6" s="7"/>
      <c r="Y6" s="7"/>
      <c r="Z6" s="7"/>
    </row>
    <row r="7" ht="12.75" customHeight="1">
      <c r="A7" s="8" t="s">
        <v>24</v>
      </c>
      <c r="B7" s="17">
        <f>(0.65+0.7)/2</f>
        <v>0.675</v>
      </c>
      <c r="C7" s="17">
        <f>'Aantal landdieren gedood'!D21*'Dieren per kg product'!B7</f>
        <v>62.83164336</v>
      </c>
      <c r="D7" s="17">
        <f>1/'Dieren per kg product'!C7</f>
        <v>0.01591554743</v>
      </c>
      <c r="E7" s="7"/>
      <c r="F7" s="7"/>
      <c r="G7" s="7"/>
      <c r="H7" s="7"/>
      <c r="I7" s="7"/>
      <c r="J7" s="7"/>
      <c r="K7" s="7"/>
      <c r="L7" s="7"/>
      <c r="M7" s="7"/>
      <c r="N7" s="7"/>
      <c r="O7" s="7"/>
      <c r="P7" s="7"/>
      <c r="Q7" s="7"/>
      <c r="R7" s="7"/>
      <c r="S7" s="7"/>
      <c r="T7" s="7"/>
      <c r="U7" s="7"/>
      <c r="V7" s="7"/>
      <c r="W7" s="7"/>
      <c r="X7" s="7"/>
      <c r="Y7" s="7"/>
      <c r="Z7" s="7"/>
    </row>
    <row r="8" ht="12.75" customHeight="1">
      <c r="A8" s="8" t="s">
        <v>50</v>
      </c>
      <c r="B8" s="17">
        <f>(0.7+0.75)/2</f>
        <v>0.725</v>
      </c>
      <c r="C8" s="17">
        <f>'Aantal landdieren gedood'!D22*'Dieren per kg product'!B8</f>
        <v>14.09722222</v>
      </c>
      <c r="D8" s="17">
        <f>1/'Dieren per kg product'!C8</f>
        <v>0.07093596059</v>
      </c>
      <c r="E8" s="7"/>
      <c r="F8" s="7"/>
      <c r="G8" s="7"/>
      <c r="H8" s="7"/>
      <c r="I8" s="7"/>
      <c r="J8" s="7"/>
      <c r="K8" s="7"/>
      <c r="L8" s="7"/>
      <c r="M8" s="7"/>
      <c r="N8" s="7"/>
      <c r="O8" s="7"/>
      <c r="P8" s="7"/>
      <c r="Q8" s="7"/>
      <c r="R8" s="7"/>
      <c r="S8" s="7"/>
      <c r="T8" s="7"/>
      <c r="U8" s="7"/>
      <c r="V8" s="7"/>
      <c r="W8" s="7"/>
      <c r="X8" s="7"/>
      <c r="Y8" s="7"/>
      <c r="Z8" s="7"/>
    </row>
    <row r="9" ht="12.75" customHeight="1">
      <c r="A9" s="29" t="s">
        <v>197</v>
      </c>
      <c r="B9" s="17">
        <v>0.58</v>
      </c>
      <c r="C9" s="17">
        <f>'Aantal landdieren gedood'!D23*'Dieren per kg product'!B9</f>
        <v>0.881054616</v>
      </c>
      <c r="D9" s="17">
        <f>1/'Dieren per kg product'!C9</f>
        <v>1.135003417</v>
      </c>
      <c r="E9" s="7"/>
      <c r="F9" s="7"/>
      <c r="G9" s="7"/>
      <c r="H9" s="7"/>
      <c r="I9" s="7"/>
      <c r="J9" s="7"/>
      <c r="K9" s="7"/>
      <c r="L9" s="7"/>
      <c r="M9" s="7"/>
      <c r="N9" s="7"/>
      <c r="O9" s="7"/>
      <c r="P9" s="7"/>
      <c r="Q9" s="7"/>
      <c r="R9" s="7"/>
      <c r="S9" s="7"/>
      <c r="T9" s="7"/>
      <c r="U9" s="7"/>
      <c r="V9" s="7"/>
      <c r="W9" s="7"/>
      <c r="X9" s="7"/>
      <c r="Y9" s="7"/>
      <c r="Z9" s="7"/>
    </row>
    <row r="10" ht="12.75" customHeight="1">
      <c r="A10" s="8"/>
      <c r="B10" s="7"/>
      <c r="C10" s="7"/>
      <c r="D10" s="7"/>
      <c r="E10" s="7"/>
      <c r="F10" s="7"/>
      <c r="G10" s="7"/>
      <c r="H10" s="7"/>
      <c r="I10" s="7"/>
      <c r="J10" s="7"/>
      <c r="K10" s="7"/>
      <c r="L10" s="7"/>
      <c r="M10" s="7"/>
      <c r="N10" s="7"/>
      <c r="O10" s="7"/>
      <c r="P10" s="7"/>
      <c r="Q10" s="7"/>
      <c r="R10" s="7"/>
      <c r="S10" s="7"/>
      <c r="T10" s="7"/>
      <c r="U10" s="7"/>
      <c r="V10" s="7"/>
      <c r="W10" s="7"/>
      <c r="X10" s="7"/>
      <c r="Y10" s="7"/>
      <c r="Z10" s="7"/>
    </row>
    <row r="11" ht="12.75" customHeight="1">
      <c r="A11" t="s">
        <v>198</v>
      </c>
      <c r="L11" s="7"/>
      <c r="M11" s="7"/>
      <c r="N11" s="7"/>
      <c r="O11" s="7"/>
      <c r="P11" s="7"/>
      <c r="Q11" s="7"/>
      <c r="R11" s="7"/>
      <c r="S11" s="7"/>
      <c r="T11" s="7"/>
      <c r="U11" s="7"/>
      <c r="V11" s="7"/>
      <c r="W11" s="7"/>
      <c r="X11" s="7"/>
      <c r="Y11" s="7"/>
      <c r="Z11" s="7"/>
    </row>
    <row r="12" ht="15.75" customHeight="1">
      <c r="L12" s="7"/>
      <c r="M12" s="7"/>
      <c r="N12" s="7"/>
      <c r="O12" s="7"/>
      <c r="P12" s="7"/>
      <c r="Q12" s="7"/>
      <c r="R12" s="7"/>
      <c r="S12" s="7"/>
      <c r="T12" s="7"/>
      <c r="U12" s="7"/>
      <c r="V12" s="7"/>
      <c r="W12" s="7"/>
      <c r="X12" s="7"/>
      <c r="Y12" s="7"/>
      <c r="Z12" s="7"/>
    </row>
    <row r="13" ht="12.75" customHeight="1">
      <c r="A13" s="8"/>
      <c r="B13" s="7"/>
      <c r="C13" s="7"/>
      <c r="D13" s="7"/>
      <c r="E13" s="7"/>
      <c r="F13" s="7"/>
      <c r="G13" s="7"/>
      <c r="H13" s="7"/>
      <c r="I13" s="7"/>
      <c r="J13" s="7"/>
      <c r="K13" s="7"/>
      <c r="L13" s="7"/>
      <c r="M13" s="7"/>
      <c r="N13" s="7"/>
      <c r="O13" s="7"/>
      <c r="P13" s="7"/>
      <c r="Q13" s="7"/>
      <c r="R13" s="7"/>
      <c r="S13" s="7"/>
      <c r="T13" s="7"/>
      <c r="U13" s="7"/>
      <c r="V13" s="7"/>
      <c r="W13" s="7"/>
      <c r="X13" s="7"/>
      <c r="Y13" s="7"/>
      <c r="Z13" s="7"/>
    </row>
    <row r="14" ht="12.75" customHeight="1">
      <c r="A14" s="41" t="s">
        <v>200</v>
      </c>
      <c r="B14" s="2"/>
      <c r="C14" s="2"/>
      <c r="D14" s="2"/>
      <c r="E14" s="2"/>
      <c r="F14" s="2"/>
      <c r="G14" s="2"/>
      <c r="H14" s="2"/>
      <c r="I14" s="2"/>
      <c r="J14" s="2"/>
      <c r="K14" s="3"/>
      <c r="L14" s="7"/>
      <c r="M14" s="7"/>
      <c r="N14" s="7"/>
      <c r="O14" s="7"/>
      <c r="P14" s="7"/>
      <c r="Q14" s="7"/>
      <c r="R14" s="7"/>
      <c r="S14" s="7"/>
      <c r="T14" s="7"/>
      <c r="U14" s="7"/>
      <c r="V14" s="7"/>
      <c r="W14" s="7"/>
      <c r="X14" s="7"/>
      <c r="Y14" s="7"/>
      <c r="Z14" s="7"/>
    </row>
    <row r="15" ht="12.75" customHeight="1">
      <c r="A15" s="8"/>
      <c r="B15" s="7" t="s">
        <v>102</v>
      </c>
      <c r="C15" s="7" t="s">
        <v>103</v>
      </c>
      <c r="D15" s="7"/>
      <c r="E15" s="7"/>
      <c r="F15" s="7"/>
      <c r="G15" s="7"/>
      <c r="H15" s="7"/>
      <c r="I15" s="7"/>
      <c r="J15" s="7"/>
      <c r="K15" s="7"/>
      <c r="L15" s="7"/>
      <c r="M15" s="7"/>
      <c r="N15" s="7"/>
      <c r="O15" s="7"/>
      <c r="P15" s="7"/>
      <c r="Q15" s="7"/>
      <c r="R15" s="7"/>
      <c r="S15" s="7"/>
      <c r="T15" s="7"/>
      <c r="U15" s="7"/>
      <c r="V15" s="7"/>
      <c r="W15" s="7"/>
      <c r="X15" s="7"/>
      <c r="Y15" s="7"/>
      <c r="Z15" s="7"/>
    </row>
    <row r="16" ht="12.75" customHeight="1">
      <c r="A16" s="8" t="s">
        <v>203</v>
      </c>
      <c r="B16" s="42">
        <f>1/'Aantal landdieren gedood'!B50</f>
        <v>0.00003300438958</v>
      </c>
      <c r="C16" s="42">
        <f>1/'Aantal landdieren gedood'!C50</f>
        <v>0.0003337689058</v>
      </c>
      <c r="D16" s="7"/>
      <c r="E16" s="7"/>
      <c r="F16" s="7"/>
      <c r="G16" s="7"/>
      <c r="H16" s="7"/>
      <c r="I16" s="7"/>
      <c r="J16" s="7"/>
      <c r="K16" s="7"/>
      <c r="L16" s="7"/>
      <c r="M16" s="7"/>
      <c r="N16" s="7"/>
      <c r="O16" s="7"/>
      <c r="P16" s="7"/>
      <c r="Q16" s="7"/>
      <c r="R16" s="7"/>
      <c r="S16" s="7"/>
      <c r="T16" s="7"/>
      <c r="U16" s="7"/>
      <c r="V16" s="7"/>
      <c r="W16" s="7"/>
      <c r="X16" s="7"/>
      <c r="Y16" s="7"/>
      <c r="Z16" s="7"/>
    </row>
    <row r="17" ht="12.75" customHeight="1">
      <c r="A17" s="8" t="s">
        <v>206</v>
      </c>
      <c r="B17" s="17">
        <f>'Aantal landdieren gedood'!B53</f>
        <v>2.280688337</v>
      </c>
      <c r="C17" s="42">
        <f>'Aantal landdieren gedood'!C53</f>
        <v>15.39464627</v>
      </c>
      <c r="D17" s="7"/>
      <c r="E17" s="7"/>
      <c r="F17" s="7"/>
      <c r="G17" s="7"/>
      <c r="H17" s="7"/>
      <c r="I17" s="7"/>
      <c r="J17" s="7"/>
      <c r="K17" s="7"/>
      <c r="L17" s="7"/>
      <c r="M17" s="7"/>
      <c r="N17" s="7"/>
      <c r="O17" s="7"/>
      <c r="P17" s="7"/>
      <c r="Q17" s="7"/>
      <c r="R17" s="7"/>
      <c r="S17" s="7"/>
      <c r="T17" s="7"/>
      <c r="U17" s="7"/>
      <c r="V17" s="7"/>
      <c r="W17" s="7"/>
      <c r="X17" s="7"/>
      <c r="Y17" s="7"/>
      <c r="Z17" s="7"/>
    </row>
    <row r="18" ht="12.75" customHeight="1">
      <c r="A18" s="8" t="s">
        <v>207</v>
      </c>
      <c r="B18" s="42">
        <f>'Dieren per kg product'!B17*'Dieren per kg product'!B16</f>
        <v>0.00007527272638</v>
      </c>
      <c r="C18" s="42">
        <f>'Dieren per kg product'!C17*'Dieren per kg product'!C16</f>
        <v>0.005138254242</v>
      </c>
      <c r="D18" s="7"/>
      <c r="E18" s="7"/>
      <c r="F18" s="7"/>
      <c r="G18" s="7"/>
      <c r="H18" s="7"/>
      <c r="I18" s="7"/>
      <c r="J18" s="7"/>
      <c r="K18" s="7"/>
      <c r="L18" s="7"/>
      <c r="M18" s="7"/>
      <c r="N18" s="7"/>
      <c r="O18" s="7"/>
      <c r="P18" s="7"/>
      <c r="Q18" s="7"/>
      <c r="R18" s="7"/>
      <c r="S18" s="7"/>
      <c r="T18" s="7"/>
      <c r="U18" s="7"/>
      <c r="V18" s="7"/>
      <c r="W18" s="7"/>
      <c r="X18" s="7"/>
      <c r="Y18" s="7"/>
      <c r="Z18" s="7"/>
    </row>
    <row r="19" ht="12.75" customHeight="1">
      <c r="A19" s="8" t="s">
        <v>209</v>
      </c>
      <c r="B19" s="42">
        <f>'Dieren per kg product'!B18+'Dieren per kg product'!B16</f>
        <v>0.000108277116</v>
      </c>
      <c r="C19" s="42">
        <f>'Dieren per kg product'!C18+'Dieren per kg product'!C16</f>
        <v>0.005472023147</v>
      </c>
      <c r="D19" s="7"/>
      <c r="E19" s="7"/>
      <c r="F19" s="7"/>
      <c r="G19" s="7"/>
      <c r="H19" s="7"/>
      <c r="I19" s="7"/>
      <c r="J19" s="7"/>
      <c r="K19" s="7"/>
      <c r="L19" s="7"/>
      <c r="M19" s="7"/>
      <c r="N19" s="7"/>
      <c r="O19" s="7"/>
      <c r="P19" s="7"/>
      <c r="Q19" s="7"/>
      <c r="R19" s="7"/>
      <c r="S19" s="7"/>
      <c r="T19" s="7"/>
      <c r="U19" s="7"/>
      <c r="V19" s="7"/>
      <c r="W19" s="7"/>
      <c r="X19" s="7"/>
      <c r="Y19" s="7"/>
      <c r="Z19" s="7"/>
    </row>
    <row r="20"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ht="12.75" customHeight="1">
      <c r="A21" s="41" t="s">
        <v>211</v>
      </c>
      <c r="B21" s="2"/>
      <c r="C21" s="2"/>
      <c r="D21" s="2"/>
      <c r="E21" s="2"/>
      <c r="F21" s="2"/>
      <c r="G21" s="2"/>
      <c r="H21" s="2"/>
      <c r="I21" s="2"/>
      <c r="J21" s="2"/>
      <c r="K21" s="3"/>
      <c r="L21" s="7"/>
      <c r="M21" s="7"/>
      <c r="N21" s="7"/>
      <c r="O21" s="7"/>
      <c r="P21" s="7"/>
      <c r="Q21" s="7"/>
      <c r="R21" s="7"/>
      <c r="S21" s="7"/>
      <c r="T21" s="7"/>
      <c r="U21" s="7"/>
      <c r="V21" s="7"/>
      <c r="W21" s="7"/>
      <c r="X21" s="7"/>
      <c r="Y21" s="7"/>
      <c r="Z21" s="7"/>
    </row>
    <row r="22" ht="12.75" customHeight="1">
      <c r="A22" s="29" t="s">
        <v>212</v>
      </c>
      <c r="B22" s="7">
        <f>B19*10</f>
        <v>0.00108277116</v>
      </c>
      <c r="C22" s="7">
        <f>C19*9.5</f>
        <v>0.0519842199</v>
      </c>
      <c r="D22" s="7"/>
      <c r="E22" s="7"/>
      <c r="F22" s="7"/>
      <c r="G22" s="7"/>
      <c r="H22" s="7"/>
      <c r="I22" s="7"/>
      <c r="J22" s="7"/>
      <c r="K22" s="7"/>
      <c r="L22" s="7"/>
      <c r="M22" s="7"/>
      <c r="N22" s="7"/>
      <c r="O22" s="7"/>
      <c r="P22" s="7"/>
      <c r="Q22" s="7"/>
      <c r="R22" s="7"/>
      <c r="S22" s="7"/>
      <c r="T22" s="7"/>
      <c r="U22" s="7"/>
      <c r="V22" s="7"/>
      <c r="W22" s="7"/>
      <c r="X22" s="7"/>
      <c r="Y22" s="7"/>
      <c r="Z22" s="7"/>
    </row>
    <row r="23" ht="12.75" customHeight="1">
      <c r="A23" s="8"/>
      <c r="B23" s="7"/>
      <c r="C23" s="7"/>
      <c r="D23" s="7"/>
      <c r="E23" s="7"/>
      <c r="F23" s="7"/>
      <c r="G23" s="7"/>
      <c r="H23" s="7"/>
      <c r="I23" s="7"/>
      <c r="J23" s="7"/>
      <c r="K23" s="7"/>
      <c r="L23" s="7"/>
      <c r="M23" s="7"/>
      <c r="N23" s="7"/>
      <c r="O23" s="7"/>
      <c r="P23" s="7"/>
      <c r="Q23" s="7"/>
      <c r="R23" s="7"/>
      <c r="S23" s="7"/>
      <c r="T23" s="7"/>
      <c r="U23" s="7"/>
      <c r="V23" s="7"/>
      <c r="W23" s="7"/>
      <c r="X23" s="7"/>
      <c r="Y23" s="7"/>
      <c r="Z23" s="7"/>
    </row>
    <row r="24" ht="12.75" customHeight="1">
      <c r="A24" s="41" t="s">
        <v>216</v>
      </c>
      <c r="B24" s="2"/>
      <c r="C24" s="2"/>
      <c r="D24" s="2"/>
      <c r="E24" s="2"/>
      <c r="F24" s="2"/>
      <c r="G24" s="2"/>
      <c r="H24" s="2"/>
      <c r="I24" s="2"/>
      <c r="J24" s="2"/>
      <c r="K24" s="3"/>
      <c r="L24" s="7"/>
      <c r="M24" s="7"/>
      <c r="N24" s="7"/>
      <c r="O24" s="7"/>
      <c r="P24" s="7"/>
      <c r="Q24" s="7"/>
      <c r="R24" s="7"/>
      <c r="S24" s="7"/>
      <c r="T24" s="7"/>
      <c r="U24" s="7"/>
      <c r="V24" s="7"/>
      <c r="W24" s="7"/>
      <c r="X24" s="7"/>
      <c r="Y24" s="7"/>
      <c r="Z24" s="7"/>
    </row>
    <row r="25" ht="12.75" customHeight="1">
      <c r="A25" s="8" t="s">
        <v>217</v>
      </c>
      <c r="B25" s="27">
        <f>2* 1/'Aantal landdieren gedood'!B70</f>
        <v>0.006123698714</v>
      </c>
      <c r="C25" s="7"/>
      <c r="D25" s="7"/>
      <c r="E25" s="7"/>
      <c r="F25" s="7"/>
      <c r="G25" s="7"/>
      <c r="H25" s="7"/>
      <c r="I25" s="7"/>
      <c r="J25" s="7"/>
      <c r="K25" s="7"/>
      <c r="L25" s="7"/>
      <c r="M25" s="7"/>
      <c r="N25" s="7"/>
      <c r="O25" s="7"/>
      <c r="P25" s="7"/>
      <c r="Q25" s="7"/>
      <c r="R25" s="7"/>
      <c r="S25" s="7"/>
      <c r="T25" s="7"/>
      <c r="U25" s="7"/>
      <c r="V25" s="7"/>
      <c r="W25" s="7"/>
      <c r="X25" s="7"/>
      <c r="Y25" s="7"/>
      <c r="Z25" s="7"/>
    </row>
    <row r="26" ht="12.75" customHeight="1">
      <c r="A26" s="8" t="s">
        <v>218</v>
      </c>
      <c r="B26" s="27">
        <f>0.066</f>
        <v>0.066</v>
      </c>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8" t="s">
        <v>220</v>
      </c>
      <c r="B27" s="27">
        <f>'Dieren per kg product'!B25/'Dieren per kg product'!B26</f>
        <v>0.09278331385</v>
      </c>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2.75" customHeight="1">
      <c r="A29" s="14" t="s">
        <v>221</v>
      </c>
      <c r="L29" s="7"/>
      <c r="M29" s="7"/>
      <c r="N29" s="7"/>
      <c r="O29" s="7"/>
      <c r="P29" s="7"/>
      <c r="Q29" s="7"/>
      <c r="R29" s="7"/>
      <c r="S29" s="7"/>
      <c r="T29" s="7"/>
      <c r="U29" s="7"/>
      <c r="V29" s="7"/>
      <c r="W29" s="7"/>
      <c r="X29" s="7"/>
      <c r="Y29" s="7"/>
      <c r="Z29" s="7"/>
    </row>
    <row r="30"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ht="12.75" customHeight="1">
      <c r="A31" s="41" t="s">
        <v>224</v>
      </c>
      <c r="B31" s="2"/>
      <c r="C31" s="2"/>
      <c r="D31" s="2"/>
      <c r="E31" s="2"/>
      <c r="F31" s="2"/>
      <c r="G31" s="2"/>
      <c r="H31" s="2"/>
      <c r="I31" s="2"/>
      <c r="J31" s="2"/>
      <c r="K31" s="3"/>
      <c r="L31" s="7"/>
      <c r="M31" s="7"/>
      <c r="N31" s="7"/>
      <c r="O31" s="7"/>
      <c r="P31" s="7"/>
      <c r="Q31" s="7"/>
      <c r="R31" s="7"/>
      <c r="S31" s="7"/>
      <c r="T31" s="7"/>
      <c r="U31" s="7"/>
      <c r="V31" s="7"/>
      <c r="W31" s="7"/>
      <c r="X31" s="7"/>
      <c r="Y31" s="7"/>
      <c r="Z31" s="7"/>
    </row>
    <row r="32"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2.75" customHeight="1">
      <c r="A33" s="45" t="s">
        <v>230</v>
      </c>
      <c r="B33" s="45" t="s">
        <v>233</v>
      </c>
      <c r="C33" s="45" t="s">
        <v>235</v>
      </c>
      <c r="D33" s="7"/>
      <c r="E33" s="7"/>
      <c r="F33" s="7"/>
      <c r="G33" s="7"/>
      <c r="H33" s="7"/>
      <c r="I33" s="7"/>
      <c r="J33" s="7"/>
      <c r="K33" s="7"/>
      <c r="L33" s="7"/>
      <c r="M33" s="7"/>
      <c r="N33" s="7"/>
      <c r="O33" s="7"/>
      <c r="P33" s="7"/>
      <c r="Q33" s="7"/>
      <c r="R33" s="7"/>
      <c r="S33" s="7"/>
      <c r="T33" s="7"/>
      <c r="U33" s="7"/>
      <c r="V33" s="7"/>
      <c r="W33" s="7"/>
      <c r="X33" s="7"/>
      <c r="Y33" s="7"/>
      <c r="Z33" s="7"/>
    </row>
    <row r="34" ht="12.75" customHeight="1">
      <c r="A34" s="46" t="s">
        <v>244</v>
      </c>
      <c r="B34" s="46">
        <v>0.87</v>
      </c>
      <c r="C34" s="47">
        <f t="shared" ref="C34:C59" si="1">1/B34</f>
        <v>1.149425287</v>
      </c>
      <c r="D34" s="7"/>
      <c r="E34" s="7"/>
      <c r="F34" s="7"/>
      <c r="G34" s="7"/>
      <c r="H34" s="7"/>
      <c r="I34" s="7"/>
      <c r="J34" s="7"/>
      <c r="K34" s="7"/>
      <c r="L34" s="7"/>
      <c r="M34" s="7"/>
      <c r="N34" s="7"/>
      <c r="O34" s="7"/>
      <c r="P34" s="7"/>
      <c r="Q34" s="7"/>
      <c r="R34" s="7"/>
      <c r="S34" s="7"/>
      <c r="T34" s="7"/>
      <c r="U34" s="7"/>
      <c r="V34" s="7"/>
      <c r="W34" s="7"/>
      <c r="X34" s="7"/>
      <c r="Y34" s="7"/>
      <c r="Z34" s="7"/>
    </row>
    <row r="35" ht="12.75" customHeight="1">
      <c r="A35" s="46" t="s">
        <v>246</v>
      </c>
      <c r="B35" s="47">
        <v>0.004</v>
      </c>
      <c r="C35" s="47">
        <f t="shared" si="1"/>
        <v>250</v>
      </c>
      <c r="D35" s="7"/>
      <c r="E35" s="7"/>
      <c r="F35" s="7"/>
      <c r="G35" s="7"/>
      <c r="I35" s="7"/>
      <c r="J35" s="7"/>
      <c r="K35" s="7"/>
      <c r="L35" s="7"/>
      <c r="M35" s="7"/>
      <c r="N35" s="7"/>
      <c r="O35" s="7"/>
      <c r="P35" s="7"/>
      <c r="Q35" s="7"/>
      <c r="R35" s="7"/>
      <c r="S35" s="7"/>
      <c r="T35" s="7"/>
      <c r="U35" s="7"/>
      <c r="V35" s="7"/>
      <c r="W35" s="7"/>
      <c r="X35" s="7"/>
      <c r="Y35" s="7"/>
      <c r="Z35" s="7"/>
    </row>
    <row r="36" ht="12.75" customHeight="1">
      <c r="A36" s="7" t="s">
        <v>131</v>
      </c>
      <c r="B36" s="17">
        <v>1.8973214285714284</v>
      </c>
      <c r="C36" s="17">
        <f t="shared" si="1"/>
        <v>0.5270588235</v>
      </c>
      <c r="D36" s="7"/>
      <c r="E36" s="7"/>
      <c r="F36" s="7"/>
      <c r="G36" s="7"/>
      <c r="I36" s="7"/>
      <c r="J36" s="7"/>
      <c r="K36" s="7"/>
      <c r="L36" s="7"/>
      <c r="M36" s="7"/>
      <c r="N36" s="7"/>
      <c r="O36" s="7"/>
      <c r="P36" s="7"/>
      <c r="Q36" s="7"/>
      <c r="R36" s="7"/>
      <c r="S36" s="7"/>
      <c r="T36" s="7"/>
      <c r="U36" s="7"/>
      <c r="V36" s="7"/>
      <c r="W36" s="7"/>
      <c r="X36" s="7"/>
      <c r="Y36" s="7"/>
      <c r="Z36" s="7"/>
    </row>
    <row r="37" ht="12.75" customHeight="1">
      <c r="A37" s="7" t="s">
        <v>247</v>
      </c>
      <c r="B37" s="17">
        <v>6.666666666666666E-4</v>
      </c>
      <c r="C37" s="17">
        <f t="shared" si="1"/>
        <v>1500</v>
      </c>
      <c r="D37" s="7"/>
      <c r="E37" s="7"/>
      <c r="F37" s="7"/>
      <c r="G37" s="7"/>
      <c r="I37" s="7"/>
      <c r="J37" s="7"/>
      <c r="K37" s="7"/>
      <c r="L37" s="7"/>
      <c r="M37" s="7"/>
      <c r="N37" s="7"/>
      <c r="O37" s="7"/>
      <c r="P37" s="7"/>
      <c r="Q37" s="7"/>
      <c r="R37" s="7"/>
      <c r="S37" s="7"/>
      <c r="T37" s="7"/>
      <c r="U37" s="7"/>
      <c r="V37" s="7"/>
      <c r="W37" s="7"/>
      <c r="X37" s="7"/>
      <c r="Y37" s="7"/>
      <c r="Z37" s="7"/>
    </row>
    <row r="38" ht="12.75" customHeight="1">
      <c r="A38" s="7" t="s">
        <v>248</v>
      </c>
      <c r="B38" s="17">
        <v>0.002</v>
      </c>
      <c r="C38" s="17">
        <f t="shared" si="1"/>
        <v>500</v>
      </c>
      <c r="D38" s="7"/>
      <c r="E38" s="7"/>
      <c r="F38" s="7"/>
      <c r="G38" s="7"/>
      <c r="I38" s="7"/>
      <c r="J38" s="7"/>
      <c r="K38" s="7"/>
      <c r="L38" s="7"/>
      <c r="M38" s="7"/>
      <c r="N38" s="7"/>
      <c r="O38" s="7"/>
      <c r="P38" s="7"/>
      <c r="Q38" s="7"/>
      <c r="R38" s="7"/>
      <c r="S38" s="7"/>
      <c r="T38" s="7"/>
      <c r="U38" s="7"/>
      <c r="V38" s="7"/>
      <c r="W38" s="7"/>
      <c r="X38" s="7"/>
      <c r="Y38" s="7"/>
      <c r="Z38" s="7"/>
    </row>
    <row r="39" ht="12.75" customHeight="1">
      <c r="A39" s="7" t="s">
        <v>178</v>
      </c>
      <c r="B39" s="17">
        <v>2.1241830065359477</v>
      </c>
      <c r="C39" s="17">
        <f t="shared" si="1"/>
        <v>0.4707692308</v>
      </c>
      <c r="D39" s="7"/>
      <c r="E39" s="7"/>
      <c r="F39" s="7"/>
      <c r="G39" s="7"/>
      <c r="I39" s="7"/>
      <c r="J39" s="7"/>
      <c r="K39" s="7"/>
      <c r="L39" s="7"/>
      <c r="M39" s="7"/>
      <c r="N39" s="7"/>
      <c r="O39" s="7"/>
      <c r="P39" s="7"/>
      <c r="Q39" s="7"/>
      <c r="R39" s="7"/>
      <c r="S39" s="7"/>
      <c r="T39" s="7"/>
      <c r="U39" s="7"/>
      <c r="V39" s="7"/>
      <c r="W39" s="7"/>
      <c r="X39" s="7"/>
      <c r="Y39" s="7"/>
      <c r="Z39" s="7"/>
    </row>
    <row r="40" ht="12.75" customHeight="1">
      <c r="A40" s="7" t="s">
        <v>72</v>
      </c>
      <c r="B40" s="17">
        <v>2.7542372881355934</v>
      </c>
      <c r="C40" s="17">
        <f t="shared" si="1"/>
        <v>0.3630769231</v>
      </c>
      <c r="D40" s="7"/>
      <c r="E40" s="7"/>
      <c r="F40" s="7"/>
      <c r="G40" s="7"/>
      <c r="I40" s="7"/>
      <c r="J40" s="7"/>
      <c r="K40" s="7"/>
      <c r="L40" s="7"/>
      <c r="M40" s="7"/>
      <c r="N40" s="7"/>
      <c r="O40" s="7"/>
      <c r="P40" s="7"/>
      <c r="Q40" s="7"/>
      <c r="R40" s="7"/>
      <c r="S40" s="7"/>
      <c r="T40" s="7"/>
      <c r="U40" s="7"/>
      <c r="V40" s="7"/>
      <c r="W40" s="7"/>
      <c r="X40" s="7"/>
      <c r="Y40" s="7"/>
      <c r="Z40" s="7"/>
    </row>
    <row r="41" ht="12.75" customHeight="1">
      <c r="A41" s="7" t="s">
        <v>159</v>
      </c>
      <c r="B41" s="17">
        <v>1.0053859964093357</v>
      </c>
      <c r="C41" s="17">
        <f t="shared" si="1"/>
        <v>0.9946428571</v>
      </c>
      <c r="D41" s="7"/>
      <c r="E41" s="7"/>
      <c r="F41" s="7"/>
      <c r="G41" s="7"/>
      <c r="I41" s="7"/>
      <c r="J41" s="7"/>
      <c r="K41" s="7"/>
      <c r="L41" s="7"/>
      <c r="M41" s="7"/>
      <c r="N41" s="7"/>
      <c r="O41" s="7"/>
      <c r="P41" s="7"/>
      <c r="Q41" s="7"/>
      <c r="R41" s="7"/>
      <c r="S41" s="7"/>
      <c r="T41" s="7"/>
      <c r="U41" s="7"/>
      <c r="V41" s="7"/>
      <c r="W41" s="7"/>
      <c r="X41" s="7"/>
      <c r="Y41" s="7"/>
      <c r="Z41" s="7"/>
    </row>
    <row r="42" ht="12.75" customHeight="1">
      <c r="A42" s="7" t="s">
        <v>249</v>
      </c>
      <c r="B42" s="17">
        <v>0.29230769230769227</v>
      </c>
      <c r="C42" s="17">
        <f t="shared" si="1"/>
        <v>3.421052632</v>
      </c>
      <c r="D42" s="7"/>
      <c r="E42" s="7"/>
      <c r="F42" s="7"/>
      <c r="G42" s="7"/>
      <c r="I42" s="7"/>
      <c r="J42" s="7"/>
      <c r="K42" s="7"/>
      <c r="L42" s="7"/>
      <c r="M42" s="7"/>
      <c r="N42" s="7"/>
      <c r="O42" s="7"/>
      <c r="P42" s="7"/>
      <c r="Q42" s="7"/>
      <c r="R42" s="7"/>
      <c r="S42" s="7"/>
      <c r="T42" s="7"/>
      <c r="U42" s="7"/>
      <c r="V42" s="7"/>
      <c r="W42" s="7"/>
      <c r="X42" s="7"/>
      <c r="Y42" s="7"/>
      <c r="Z42" s="7"/>
    </row>
    <row r="43" ht="12.75" customHeight="1">
      <c r="A43" s="7" t="s">
        <v>250</v>
      </c>
      <c r="B43" s="17">
        <v>0.0175</v>
      </c>
      <c r="C43" s="17">
        <f t="shared" si="1"/>
        <v>57.14285714</v>
      </c>
      <c r="D43" s="7"/>
      <c r="E43" s="7"/>
      <c r="F43" s="7"/>
      <c r="G43" s="7"/>
      <c r="I43" s="7"/>
      <c r="J43" s="7"/>
      <c r="K43" s="7"/>
      <c r="L43" s="7"/>
      <c r="M43" s="7"/>
      <c r="N43" s="7"/>
      <c r="O43" s="7"/>
      <c r="P43" s="7"/>
      <c r="Q43" s="7"/>
      <c r="R43" s="7"/>
      <c r="S43" s="7"/>
      <c r="T43" s="7"/>
      <c r="U43" s="7"/>
      <c r="V43" s="7"/>
      <c r="W43" s="7"/>
      <c r="X43" s="7"/>
      <c r="Y43" s="7"/>
      <c r="Z43" s="7"/>
    </row>
    <row r="44" ht="12.75" customHeight="1">
      <c r="A44" s="7" t="s">
        <v>193</v>
      </c>
      <c r="B44" s="17">
        <v>1.991815806340285</v>
      </c>
      <c r="C44" s="17">
        <f t="shared" si="1"/>
        <v>0.5020544554</v>
      </c>
      <c r="D44" s="7"/>
      <c r="E44" s="7"/>
      <c r="F44" s="7"/>
      <c r="G44" s="7"/>
      <c r="I44" s="7"/>
      <c r="J44" s="7"/>
      <c r="K44" s="7"/>
      <c r="L44" s="7"/>
      <c r="M44" s="7"/>
      <c r="N44" s="7"/>
      <c r="O44" s="7"/>
      <c r="P44" s="7"/>
      <c r="Q44" s="7"/>
      <c r="R44" s="7"/>
      <c r="S44" s="7"/>
      <c r="T44" s="7"/>
      <c r="U44" s="7"/>
      <c r="V44" s="7"/>
      <c r="W44" s="7"/>
      <c r="X44" s="7"/>
      <c r="Y44" s="7"/>
      <c r="Z44" s="7"/>
    </row>
    <row r="45" ht="12.75" customHeight="1">
      <c r="A45" s="7" t="s">
        <v>213</v>
      </c>
      <c r="B45" s="17">
        <v>3.2758620689655173</v>
      </c>
      <c r="C45" s="17">
        <f t="shared" si="1"/>
        <v>0.3052631579</v>
      </c>
      <c r="D45" s="7"/>
      <c r="E45" s="7"/>
      <c r="F45" s="7"/>
      <c r="G45" s="7"/>
      <c r="I45" s="7"/>
      <c r="J45" s="7"/>
      <c r="K45" s="7"/>
      <c r="L45" s="7"/>
      <c r="M45" s="7"/>
      <c r="N45" s="7"/>
      <c r="O45" s="7"/>
      <c r="P45" s="7"/>
      <c r="Q45" s="7"/>
      <c r="R45" s="7"/>
      <c r="S45" s="7"/>
      <c r="T45" s="7"/>
      <c r="U45" s="7"/>
      <c r="V45" s="7"/>
      <c r="W45" s="7"/>
      <c r="X45" s="7"/>
      <c r="Y45" s="7"/>
      <c r="Z45" s="7"/>
    </row>
    <row r="46" ht="12.75" customHeight="1">
      <c r="A46" s="7" t="s">
        <v>151</v>
      </c>
      <c r="B46" s="17">
        <v>2.5537372556659528</v>
      </c>
      <c r="C46" s="17">
        <f t="shared" si="1"/>
        <v>0.3915829625</v>
      </c>
      <c r="D46" s="7"/>
      <c r="E46" s="7"/>
      <c r="F46" s="7"/>
      <c r="G46" s="7"/>
      <c r="I46" s="7"/>
      <c r="J46" s="7"/>
      <c r="K46" s="7"/>
      <c r="L46" s="7"/>
      <c r="M46" s="7"/>
      <c r="N46" s="7"/>
      <c r="O46" s="7"/>
      <c r="P46" s="7"/>
      <c r="Q46" s="7"/>
      <c r="R46" s="7"/>
      <c r="S46" s="7"/>
      <c r="T46" s="7"/>
      <c r="U46" s="7"/>
      <c r="V46" s="7"/>
      <c r="W46" s="7"/>
      <c r="X46" s="7"/>
      <c r="Y46" s="7"/>
      <c r="Z46" s="7"/>
    </row>
    <row r="47" ht="12.75" customHeight="1">
      <c r="A47" s="7" t="s">
        <v>251</v>
      </c>
      <c r="B47" s="17">
        <v>0.32558139534883723</v>
      </c>
      <c r="C47" s="17">
        <f t="shared" si="1"/>
        <v>3.071428571</v>
      </c>
      <c r="D47" s="7"/>
      <c r="E47" s="7"/>
      <c r="F47" s="7"/>
      <c r="G47" s="7"/>
      <c r="I47" s="7"/>
      <c r="J47" s="7"/>
      <c r="K47" s="7"/>
      <c r="L47" s="7"/>
      <c r="M47" s="7"/>
      <c r="N47" s="7"/>
      <c r="O47" s="7"/>
      <c r="P47" s="7"/>
      <c r="Q47" s="7"/>
      <c r="R47" s="7"/>
      <c r="S47" s="7"/>
      <c r="T47" s="7"/>
      <c r="U47" s="7"/>
      <c r="V47" s="7"/>
      <c r="W47" s="7"/>
      <c r="X47" s="7"/>
      <c r="Y47" s="7"/>
      <c r="Z47" s="7"/>
    </row>
    <row r="48" ht="12.75" customHeight="1">
      <c r="A48" s="7" t="s">
        <v>145</v>
      </c>
      <c r="B48" s="17">
        <v>2.6086956521739126</v>
      </c>
      <c r="C48" s="17">
        <f t="shared" si="1"/>
        <v>0.3833333333</v>
      </c>
      <c r="D48" s="7"/>
      <c r="E48" s="7"/>
      <c r="F48" s="7"/>
      <c r="G48" s="7"/>
      <c r="I48" s="7"/>
      <c r="J48" s="7"/>
      <c r="K48" s="7"/>
      <c r="L48" s="7"/>
      <c r="M48" s="7"/>
      <c r="N48" s="7"/>
      <c r="O48" s="7"/>
      <c r="P48" s="7"/>
      <c r="Q48" s="7"/>
      <c r="R48" s="7"/>
      <c r="S48" s="7"/>
      <c r="T48" s="7"/>
      <c r="U48" s="7"/>
      <c r="V48" s="7"/>
      <c r="W48" s="7"/>
      <c r="X48" s="7"/>
      <c r="Y48" s="7"/>
      <c r="Z48" s="7"/>
    </row>
    <row r="49" ht="12.75" customHeight="1">
      <c r="A49" s="7" t="s">
        <v>253</v>
      </c>
      <c r="B49" s="17">
        <v>0.02534090909090909</v>
      </c>
      <c r="C49" s="17">
        <f t="shared" si="1"/>
        <v>39.46188341</v>
      </c>
      <c r="D49" s="7"/>
      <c r="E49" s="7"/>
      <c r="F49" s="7"/>
      <c r="G49" s="7"/>
      <c r="I49" s="7"/>
      <c r="J49" s="7"/>
      <c r="K49" s="7"/>
      <c r="L49" s="7"/>
      <c r="M49" s="7"/>
      <c r="N49" s="7"/>
      <c r="O49" s="7"/>
      <c r="P49" s="7"/>
      <c r="Q49" s="7"/>
      <c r="R49" s="7"/>
      <c r="S49" s="7"/>
      <c r="T49" s="7"/>
      <c r="U49" s="7"/>
      <c r="V49" s="7"/>
      <c r="W49" s="7"/>
      <c r="X49" s="7"/>
      <c r="Y49" s="7"/>
      <c r="Z49" s="7"/>
    </row>
    <row r="50" ht="12.75" customHeight="1">
      <c r="A50" s="7" t="s">
        <v>124</v>
      </c>
      <c r="B50" s="17">
        <v>1.030664395229983</v>
      </c>
      <c r="C50" s="17">
        <f t="shared" si="1"/>
        <v>0.9702479339</v>
      </c>
      <c r="D50" s="7"/>
      <c r="E50" s="7"/>
      <c r="F50" s="7"/>
      <c r="G50" s="7"/>
      <c r="I50" s="7"/>
      <c r="J50" s="7"/>
      <c r="K50" s="7"/>
      <c r="L50" s="7"/>
      <c r="M50" s="7"/>
      <c r="N50" s="7"/>
      <c r="O50" s="7"/>
      <c r="P50" s="7"/>
      <c r="Q50" s="7"/>
      <c r="R50" s="7"/>
      <c r="S50" s="7"/>
      <c r="T50" s="7"/>
      <c r="U50" s="7"/>
      <c r="V50" s="7"/>
      <c r="W50" s="7"/>
      <c r="X50" s="7"/>
      <c r="Y50" s="7"/>
      <c r="Z50" s="7"/>
    </row>
    <row r="51" ht="12.75" customHeight="1">
      <c r="A51" s="7" t="s">
        <v>228</v>
      </c>
      <c r="B51" s="17">
        <v>0.32558139534883723</v>
      </c>
      <c r="C51" s="17">
        <f t="shared" si="1"/>
        <v>3.071428571</v>
      </c>
      <c r="D51" s="7"/>
      <c r="E51" s="7"/>
      <c r="F51" s="7"/>
      <c r="G51" s="7"/>
      <c r="I51" s="7"/>
      <c r="J51" s="7"/>
      <c r="K51" s="7"/>
      <c r="L51" s="7"/>
      <c r="M51" s="7"/>
      <c r="N51" s="7"/>
      <c r="O51" s="7"/>
      <c r="P51" s="7"/>
      <c r="Q51" s="7"/>
      <c r="R51" s="7"/>
      <c r="S51" s="7"/>
      <c r="T51" s="7"/>
      <c r="U51" s="7"/>
      <c r="V51" s="7"/>
      <c r="W51" s="7"/>
      <c r="X51" s="7"/>
      <c r="Y51" s="7"/>
      <c r="Z51" s="7"/>
    </row>
    <row r="52" ht="12.75" customHeight="1">
      <c r="A52" s="7" t="s">
        <v>107</v>
      </c>
      <c r="B52" s="17">
        <v>1.188212927756654</v>
      </c>
      <c r="C52" s="17">
        <f t="shared" si="1"/>
        <v>0.8416</v>
      </c>
      <c r="D52" s="7"/>
      <c r="E52" s="7"/>
      <c r="F52" s="7"/>
      <c r="G52" s="7"/>
      <c r="I52" s="7"/>
      <c r="J52" s="7"/>
      <c r="K52" s="7"/>
      <c r="L52" s="7"/>
      <c r="M52" s="7"/>
      <c r="N52" s="7"/>
      <c r="O52" s="7"/>
      <c r="P52" s="7"/>
      <c r="Q52" s="7"/>
      <c r="R52" s="7"/>
      <c r="S52" s="7"/>
      <c r="T52" s="7"/>
      <c r="U52" s="7"/>
      <c r="V52" s="7"/>
      <c r="W52" s="7"/>
      <c r="X52" s="7"/>
      <c r="Y52" s="7"/>
      <c r="Z52" s="7"/>
    </row>
    <row r="53" ht="12.75" customHeight="1">
      <c r="A53" s="7" t="s">
        <v>254</v>
      </c>
      <c r="B53" s="17">
        <v>30.207064555420217</v>
      </c>
      <c r="C53" s="17">
        <f t="shared" si="1"/>
        <v>0.03310483871</v>
      </c>
      <c r="D53" s="7"/>
      <c r="E53" s="7"/>
      <c r="F53" s="7"/>
      <c r="G53" s="7"/>
      <c r="I53" s="7"/>
      <c r="J53" s="7"/>
      <c r="K53" s="7"/>
      <c r="L53" s="7"/>
      <c r="M53" s="7"/>
      <c r="N53" s="7"/>
      <c r="O53" s="7"/>
      <c r="P53" s="7"/>
      <c r="Q53" s="7"/>
      <c r="R53" s="7"/>
      <c r="S53" s="7"/>
      <c r="T53" s="7"/>
      <c r="U53" s="7"/>
      <c r="V53" s="7"/>
      <c r="W53" s="7"/>
      <c r="X53" s="7"/>
      <c r="Y53" s="7"/>
      <c r="Z53" s="7"/>
    </row>
    <row r="54" ht="12.75" customHeight="1">
      <c r="A54" s="7" t="s">
        <v>116</v>
      </c>
      <c r="B54" s="17">
        <v>2.7522935779816513</v>
      </c>
      <c r="C54" s="17">
        <f t="shared" si="1"/>
        <v>0.3633333333</v>
      </c>
      <c r="D54" s="7"/>
      <c r="E54" s="7"/>
      <c r="F54" s="7"/>
      <c r="G54" s="7"/>
      <c r="I54" s="7"/>
      <c r="J54" s="7"/>
      <c r="K54" s="7"/>
      <c r="L54" s="7"/>
      <c r="M54" s="7"/>
      <c r="N54" s="7"/>
      <c r="O54" s="7"/>
      <c r="P54" s="7"/>
      <c r="Q54" s="7"/>
      <c r="R54" s="7"/>
      <c r="S54" s="7"/>
      <c r="T54" s="7"/>
      <c r="U54" s="7"/>
      <c r="V54" s="7"/>
      <c r="W54" s="7"/>
      <c r="X54" s="7"/>
      <c r="Y54" s="7"/>
      <c r="Z54" s="7"/>
    </row>
    <row r="55" ht="12.75" customHeight="1">
      <c r="A55" s="7" t="s">
        <v>255</v>
      </c>
      <c r="B55" s="17">
        <v>1.0646108663729807</v>
      </c>
      <c r="C55" s="17">
        <f t="shared" si="1"/>
        <v>0.9393103448</v>
      </c>
      <c r="D55" s="7"/>
      <c r="E55" s="7"/>
      <c r="F55" s="7"/>
      <c r="G55" s="7"/>
      <c r="I55" s="7"/>
      <c r="J55" s="7"/>
      <c r="K55" s="7"/>
      <c r="L55" s="7"/>
      <c r="M55" s="7"/>
      <c r="N55" s="7"/>
      <c r="O55" s="7"/>
      <c r="P55" s="7"/>
      <c r="Q55" s="7"/>
      <c r="R55" s="7"/>
      <c r="S55" s="7"/>
      <c r="T55" s="7"/>
      <c r="U55" s="7"/>
      <c r="V55" s="7"/>
      <c r="W55" s="7"/>
      <c r="X55" s="7"/>
      <c r="Y55" s="7"/>
      <c r="Z55" s="7"/>
    </row>
    <row r="56" ht="12.75" customHeight="1">
      <c r="A56" s="7" t="s">
        <v>256</v>
      </c>
      <c r="B56" s="17">
        <v>2.950310559006211</v>
      </c>
      <c r="C56" s="17">
        <f t="shared" si="1"/>
        <v>0.3389473684</v>
      </c>
      <c r="D56" s="7"/>
      <c r="E56" s="7"/>
      <c r="F56" s="7"/>
      <c r="G56" s="7"/>
      <c r="I56" s="7"/>
      <c r="J56" s="7"/>
      <c r="K56" s="7"/>
      <c r="L56" s="7"/>
      <c r="M56" s="7"/>
      <c r="N56" s="7"/>
      <c r="O56" s="7"/>
      <c r="P56" s="7"/>
      <c r="Q56" s="7"/>
      <c r="R56" s="7"/>
      <c r="S56" s="7"/>
      <c r="T56" s="7"/>
      <c r="U56" s="7"/>
      <c r="V56" s="7"/>
      <c r="W56" s="7"/>
      <c r="X56" s="7"/>
      <c r="Y56" s="7"/>
      <c r="Z56" s="7"/>
    </row>
    <row r="57" ht="12.75" customHeight="1">
      <c r="A57" s="7" t="s">
        <v>184</v>
      </c>
      <c r="B57" s="17">
        <v>3.2758620689655173</v>
      </c>
      <c r="C57" s="17">
        <f t="shared" si="1"/>
        <v>0.3052631579</v>
      </c>
      <c r="D57" s="7"/>
      <c r="E57" s="7"/>
      <c r="F57" s="7"/>
      <c r="G57" s="7"/>
      <c r="I57" s="7"/>
      <c r="J57" s="7"/>
      <c r="K57" s="7"/>
      <c r="L57" s="7"/>
      <c r="M57" s="7"/>
      <c r="N57" s="7"/>
      <c r="O57" s="7"/>
      <c r="P57" s="7"/>
      <c r="Q57" s="7"/>
      <c r="R57" s="7"/>
      <c r="S57" s="7"/>
      <c r="T57" s="7"/>
      <c r="U57" s="7"/>
      <c r="V57" s="7"/>
      <c r="W57" s="7"/>
      <c r="X57" s="7"/>
      <c r="Y57" s="7"/>
      <c r="Z57" s="7"/>
    </row>
    <row r="58" ht="12.75" customHeight="1">
      <c r="A58" s="7" t="s">
        <v>205</v>
      </c>
      <c r="B58" s="17">
        <v>3.2758620689655173</v>
      </c>
      <c r="C58" s="17">
        <f t="shared" si="1"/>
        <v>0.3052631579</v>
      </c>
      <c r="D58" s="7"/>
      <c r="E58" s="7"/>
      <c r="F58" s="7"/>
      <c r="G58" s="7"/>
      <c r="I58" s="7"/>
      <c r="J58" s="7"/>
      <c r="K58" s="7"/>
      <c r="L58" s="7"/>
      <c r="M58" s="7"/>
      <c r="N58" s="7"/>
      <c r="O58" s="7"/>
      <c r="P58" s="7"/>
      <c r="Q58" s="7"/>
      <c r="R58" s="7"/>
      <c r="S58" s="7"/>
      <c r="T58" s="7"/>
      <c r="U58" s="7"/>
      <c r="V58" s="7"/>
      <c r="W58" s="7"/>
      <c r="X58" s="7"/>
      <c r="Y58" s="7"/>
      <c r="Z58" s="7"/>
    </row>
    <row r="59" ht="12.75" customHeight="1">
      <c r="A59" s="7" t="s">
        <v>94</v>
      </c>
      <c r="B59" s="17">
        <v>4.241071428571428</v>
      </c>
      <c r="C59" s="17">
        <f t="shared" si="1"/>
        <v>0.2357894737</v>
      </c>
      <c r="D59" s="7"/>
      <c r="E59" s="7"/>
      <c r="F59" s="7"/>
      <c r="G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41" t="s">
        <v>257</v>
      </c>
      <c r="B61" s="2"/>
      <c r="C61" s="2"/>
      <c r="D61" s="2"/>
      <c r="E61" s="2"/>
      <c r="F61" s="2"/>
      <c r="G61" s="2"/>
      <c r="H61" s="2"/>
      <c r="I61" s="2"/>
      <c r="J61" s="2"/>
      <c r="K61" s="3"/>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46" t="s">
        <v>260</v>
      </c>
      <c r="B63" s="7"/>
      <c r="C63" s="46">
        <v>300000.0</v>
      </c>
      <c r="D63" s="21" t="s">
        <v>261</v>
      </c>
      <c r="E63" s="7"/>
      <c r="F63" s="48" t="s">
        <v>262</v>
      </c>
      <c r="G63" s="7"/>
      <c r="H63" s="7"/>
      <c r="I63" s="7"/>
      <c r="J63" s="7"/>
      <c r="K63" s="7"/>
      <c r="L63" s="7"/>
      <c r="M63" s="7"/>
      <c r="N63" s="7"/>
      <c r="O63" s="7"/>
      <c r="P63" s="7"/>
      <c r="Q63" s="7"/>
      <c r="R63" s="7"/>
      <c r="S63" s="7"/>
      <c r="T63" s="7"/>
      <c r="U63" s="7"/>
      <c r="V63" s="7"/>
      <c r="W63" s="7"/>
      <c r="X63" s="7"/>
      <c r="Y63" s="7"/>
      <c r="Z63" s="7"/>
    </row>
    <row r="64" ht="12.75" customHeight="1">
      <c r="A64" s="46" t="s">
        <v>265</v>
      </c>
      <c r="B64" s="7"/>
      <c r="C64" s="46">
        <v>227.0</v>
      </c>
      <c r="D64" s="21" t="s">
        <v>266</v>
      </c>
      <c r="E64" s="7"/>
      <c r="F64" s="49" t="s">
        <v>267</v>
      </c>
      <c r="G64" s="7"/>
      <c r="H64" s="7"/>
      <c r="I64" s="7"/>
      <c r="J64" s="7"/>
      <c r="K64" s="7"/>
      <c r="L64" s="7"/>
      <c r="M64" s="7"/>
      <c r="N64" s="7"/>
      <c r="O64" s="7"/>
      <c r="P64" s="7"/>
      <c r="Q64" s="7"/>
      <c r="R64" s="7"/>
      <c r="S64" s="7"/>
      <c r="T64" s="7"/>
      <c r="U64" s="7"/>
      <c r="V64" s="7"/>
      <c r="W64" s="7"/>
      <c r="X64" s="7"/>
      <c r="Y64" s="7"/>
      <c r="Z64" s="7"/>
    </row>
    <row r="65" ht="12.75" customHeight="1">
      <c r="A65" s="50" t="s">
        <v>271</v>
      </c>
      <c r="B65" s="7"/>
      <c r="C65">
        <f>0.14*6000*2</f>
        <v>1680</v>
      </c>
      <c r="D65" s="51" t="s">
        <v>272</v>
      </c>
      <c r="E65" s="7"/>
      <c r="F65" s="52"/>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49" t="s">
        <v>273</v>
      </c>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46"/>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sheetData>
  <mergeCells count="9">
    <mergeCell ref="A1:K1"/>
    <mergeCell ref="A3:K3"/>
    <mergeCell ref="A11:K12"/>
    <mergeCell ref="A29:K29"/>
    <mergeCell ref="A14:K14"/>
    <mergeCell ref="A21:K21"/>
    <mergeCell ref="A24:K24"/>
    <mergeCell ref="A31:K31"/>
    <mergeCell ref="A61:K61"/>
  </mergeCells>
  <hyperlinks>
    <hyperlink r:id="rId1" location="Classificatie" ref="A29"/>
    <hyperlink r:id="rId2" ref="F63"/>
    <hyperlink r:id="rId3" ref="F64"/>
    <hyperlink r:id="rId4" ref="F66"/>
  </hyperlinks>
  <drawing r:id="rId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21" t="s">
        <v>322</v>
      </c>
    </row>
    <row r="2">
      <c r="A2" s="21" t="s">
        <v>324</v>
      </c>
    </row>
  </sheetData>
  <drawing r:id="rId1"/>
</worksheet>
</file>